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240" yWindow="45" windowWidth="18780" windowHeight="11025" tabRatio="896"/>
  </bookViews>
  <sheets>
    <sheet name="Report (p1)" sheetId="1" r:id="rId1"/>
    <sheet name="Report (p2)" sheetId="2" r:id="rId2"/>
    <sheet name="Report (p3)" sheetId="3" r:id="rId3"/>
    <sheet name="Données" sheetId="4" r:id="rId4"/>
    <sheet name="Performances" sheetId="5" r:id="rId5"/>
    <sheet name="Graph Perf" sheetId="155" r:id="rId6"/>
    <sheet name="Sophis" sheetId="203" r:id="rId7"/>
    <sheet name="Inventaire M" sheetId="6" r:id="rId8"/>
    <sheet name="Inventaire M-1" sheetId="7" r:id="rId9"/>
    <sheet name="Principales Lignes &amp; Contrib" sheetId="8" r:id="rId10"/>
    <sheet name="Mouvements" sheetId="10" r:id="rId11"/>
    <sheet name="Caracteristik" sheetId="73" r:id="rId12"/>
  </sheets>
  <definedNames>
    <definedName name="S_1" localSheetId="11">Caracteristik!$A$1:$AS$2</definedName>
    <definedName name="S_1" localSheetId="3">Données!$A$1:$AN$162</definedName>
    <definedName name="S_1" localSheetId="5">'Graph Perf'!$A$1:$P$32</definedName>
    <definedName name="S_1" localSheetId="7">'Inventaire M'!$A$1:$N$188</definedName>
    <definedName name="S_1" localSheetId="8">'Inventaire M-1'!$A$1:$N$192</definedName>
    <definedName name="S_1" localSheetId="10">Mouvements!$A$1:$AF$662</definedName>
    <definedName name="S_1" localSheetId="4">Performances!$A$1:$M$60</definedName>
    <definedName name="S_1" localSheetId="9">'Principales Lignes &amp; Contrib'!$A$1:$I$183</definedName>
    <definedName name="S_1" localSheetId="0">'Report (p1)'!$A$1:$AQ$64</definedName>
    <definedName name="S_1" localSheetId="1">'Report (p2)'!$A$1:$AQ$59</definedName>
    <definedName name="S_1" localSheetId="2">'Report (p3)'!$A$1:$AQ$59</definedName>
    <definedName name="S_1" localSheetId="6">Sophis!$A$1:$AD$192</definedName>
    <definedName name="_xlnm.Print_Area" localSheetId="0">'Report (p1)'!$A$1:$AQ$64</definedName>
    <definedName name="_xlnm.Print_Area" localSheetId="1">'Report (p2)'!$A$1:$AQ$59</definedName>
    <definedName name="_xlnm.Print_Area" localSheetId="2">'Report (p3)'!$A$1:$AQ$59</definedName>
  </definedNames>
  <calcPr calcId="145621"/>
</workbook>
</file>

<file path=xl/calcChain.xml><?xml version="1.0" encoding="utf-8"?>
<calcChain xmlns="http://schemas.openxmlformats.org/spreadsheetml/2006/main">
  <c r="E52" i="4" l="1"/>
  <c r="F56" i="3" l="1"/>
  <c r="A55" i="3"/>
  <c r="A51" i="3"/>
  <c r="F56" i="2"/>
  <c r="A55" i="2"/>
  <c r="A51" i="2"/>
  <c r="F61" i="1"/>
  <c r="A60" i="1"/>
  <c r="A56" i="1"/>
  <c r="R26" i="10" l="1"/>
  <c r="U26" i="10" s="1"/>
  <c r="S26" i="10"/>
  <c r="AF26" i="10" s="1"/>
  <c r="R27" i="10"/>
  <c r="AA27" i="10" s="1"/>
  <c r="S27" i="10"/>
  <c r="R28" i="10"/>
  <c r="AB28" i="10" s="1"/>
  <c r="S28" i="10"/>
  <c r="AF28" i="10" s="1"/>
  <c r="R29" i="10"/>
  <c r="AB29" i="10" s="1"/>
  <c r="S29" i="10"/>
  <c r="AF29" i="10" s="1"/>
  <c r="R30" i="10"/>
  <c r="X30" i="10" s="1"/>
  <c r="S30" i="10"/>
  <c r="R31" i="10"/>
  <c r="U31" i="10" s="1"/>
  <c r="S31" i="10"/>
  <c r="AF31" i="10" s="1"/>
  <c r="R32" i="10"/>
  <c r="AA32" i="10" s="1"/>
  <c r="S32" i="10"/>
  <c r="AF32" i="10" s="1"/>
  <c r="R33" i="10"/>
  <c r="S33" i="10"/>
  <c r="R34" i="10"/>
  <c r="AB34" i="10" s="1"/>
  <c r="S34" i="10"/>
  <c r="AF34" i="10" s="1"/>
  <c r="R35" i="10"/>
  <c r="AA35" i="10" s="1"/>
  <c r="S35" i="10"/>
  <c r="R36" i="10"/>
  <c r="AB36" i="10" s="1"/>
  <c r="S36" i="10"/>
  <c r="AF36" i="10" s="1"/>
  <c r="R37" i="10"/>
  <c r="AB37" i="10" s="1"/>
  <c r="S37" i="10"/>
  <c r="R38" i="10"/>
  <c r="X38" i="10" s="1"/>
  <c r="S38" i="10"/>
  <c r="R39" i="10"/>
  <c r="AA39" i="10" s="1"/>
  <c r="S39" i="10"/>
  <c r="AF39" i="10" s="1"/>
  <c r="R40" i="10"/>
  <c r="AA40" i="10" s="1"/>
  <c r="S40" i="10"/>
  <c r="AF40" i="10" s="1"/>
  <c r="R41" i="10"/>
  <c r="U41" i="10" s="1"/>
  <c r="S41" i="10"/>
  <c r="AF41" i="10" s="1"/>
  <c r="R42" i="10"/>
  <c r="U42" i="10" s="1"/>
  <c r="S42" i="10"/>
  <c r="AF42" i="10" s="1"/>
  <c r="R43" i="10"/>
  <c r="AA43" i="10" s="1"/>
  <c r="S43" i="10"/>
  <c r="R44" i="10"/>
  <c r="AA44" i="10" s="1"/>
  <c r="S44" i="10"/>
  <c r="AF44" i="10" s="1"/>
  <c r="R45" i="10"/>
  <c r="AB45" i="10" s="1"/>
  <c r="S45" i="10"/>
  <c r="AF45" i="10" s="1"/>
  <c r="R46" i="10"/>
  <c r="V46" i="10" s="1"/>
  <c r="S46" i="10"/>
  <c r="R47" i="10"/>
  <c r="X47" i="10" s="1"/>
  <c r="S47" i="10"/>
  <c r="AF47" i="10" s="1"/>
  <c r="R48" i="10"/>
  <c r="AA48" i="10" s="1"/>
  <c r="S48" i="10"/>
  <c r="R49" i="10"/>
  <c r="AA49" i="10" s="1"/>
  <c r="S49" i="10"/>
  <c r="R50" i="10"/>
  <c r="AB50" i="10" s="1"/>
  <c r="S50" i="10"/>
  <c r="R51" i="10"/>
  <c r="U51" i="10" s="1"/>
  <c r="S51" i="10"/>
  <c r="R52" i="10"/>
  <c r="AA52" i="10" s="1"/>
  <c r="S52" i="10"/>
  <c r="AF52" i="10" s="1"/>
  <c r="R53" i="10"/>
  <c r="AB53" i="10" s="1"/>
  <c r="S53" i="10"/>
  <c r="R54" i="10"/>
  <c r="V54" i="10" s="1"/>
  <c r="S54" i="10"/>
  <c r="R55" i="10"/>
  <c r="S55" i="10"/>
  <c r="AF55" i="10" s="1"/>
  <c r="R56" i="10"/>
  <c r="AA56" i="10" s="1"/>
  <c r="S56" i="10"/>
  <c r="R57" i="10"/>
  <c r="AA57" i="10" s="1"/>
  <c r="S57" i="10"/>
  <c r="R58" i="10"/>
  <c r="X58" i="10" s="1"/>
  <c r="S58" i="10"/>
  <c r="R59" i="10"/>
  <c r="AA59" i="10" s="1"/>
  <c r="S59" i="10"/>
  <c r="R60" i="10"/>
  <c r="X60" i="10" s="1"/>
  <c r="S60" i="10"/>
  <c r="AF60" i="10" s="1"/>
  <c r="R61" i="10"/>
  <c r="AB61" i="10" s="1"/>
  <c r="S61" i="10"/>
  <c r="R62" i="10"/>
  <c r="X62" i="10" s="1"/>
  <c r="S62" i="10"/>
  <c r="R63" i="10"/>
  <c r="AB63" i="10" s="1"/>
  <c r="S63" i="10"/>
  <c r="AF63" i="10" s="1"/>
  <c r="R64" i="10"/>
  <c r="U64" i="10" s="1"/>
  <c r="S64" i="10"/>
  <c r="AF64" i="10" s="1"/>
  <c r="R65" i="10"/>
  <c r="U65" i="10" s="1"/>
  <c r="S65" i="10"/>
  <c r="R66" i="10"/>
  <c r="AA66" i="10" s="1"/>
  <c r="S66" i="10"/>
  <c r="R67" i="10"/>
  <c r="AA67" i="10" s="1"/>
  <c r="S67" i="10"/>
  <c r="R68" i="10"/>
  <c r="S68" i="10"/>
  <c r="AF68" i="10" s="1"/>
  <c r="R69" i="10"/>
  <c r="AB69" i="10" s="1"/>
  <c r="S69" i="10"/>
  <c r="R70" i="10"/>
  <c r="S70" i="10"/>
  <c r="AF70" i="10" s="1"/>
  <c r="R71" i="10"/>
  <c r="U71" i="10" s="1"/>
  <c r="S71" i="10"/>
  <c r="AF71" i="10" s="1"/>
  <c r="R72" i="10"/>
  <c r="S72" i="10"/>
  <c r="R73" i="10"/>
  <c r="U73" i="10" s="1"/>
  <c r="S73" i="10"/>
  <c r="AF73" i="10" s="1"/>
  <c r="R74" i="10"/>
  <c r="AA74" i="10" s="1"/>
  <c r="S74" i="10"/>
  <c r="R75" i="10"/>
  <c r="AA75" i="10" s="1"/>
  <c r="S75" i="10"/>
  <c r="R76" i="10"/>
  <c r="X76" i="10" s="1"/>
  <c r="S76" i="10"/>
  <c r="R77" i="10"/>
  <c r="AB77" i="10" s="1"/>
  <c r="S77" i="10"/>
  <c r="R78" i="10"/>
  <c r="S78" i="10"/>
  <c r="AF78" i="10" s="1"/>
  <c r="R79" i="10"/>
  <c r="AB79" i="10" s="1"/>
  <c r="S79" i="10"/>
  <c r="R80" i="10"/>
  <c r="S80" i="10"/>
  <c r="AF80" i="10" s="1"/>
  <c r="R81" i="10"/>
  <c r="U81" i="10" s="1"/>
  <c r="S81" i="10"/>
  <c r="R82" i="10"/>
  <c r="V82" i="10" s="1"/>
  <c r="S82" i="10"/>
  <c r="R83" i="10"/>
  <c r="AA83" i="10" s="1"/>
  <c r="S83" i="10"/>
  <c r="AF83" i="10" s="1"/>
  <c r="R84" i="10"/>
  <c r="AA84" i="10" s="1"/>
  <c r="S84" i="10"/>
  <c r="AF84" i="10" s="1"/>
  <c r="R85" i="10"/>
  <c r="AB85" i="10" s="1"/>
  <c r="S85" i="10"/>
  <c r="AF85" i="10" s="1"/>
  <c r="R86" i="10"/>
  <c r="X86" i="10" s="1"/>
  <c r="S86" i="10"/>
  <c r="AF86" i="10" s="1"/>
  <c r="R87" i="10"/>
  <c r="V87" i="10" s="1"/>
  <c r="S87" i="10"/>
  <c r="AF87" i="10" s="1"/>
  <c r="R88" i="10"/>
  <c r="U88" i="10" s="1"/>
  <c r="S88" i="10"/>
  <c r="AF88" i="10" s="1"/>
  <c r="R89" i="10"/>
  <c r="U89" i="10" s="1"/>
  <c r="S89" i="10"/>
  <c r="AF89" i="10" s="1"/>
  <c r="R90" i="10"/>
  <c r="U90" i="10" s="1"/>
  <c r="S90" i="10"/>
  <c r="AF90" i="10" s="1"/>
  <c r="R91" i="10"/>
  <c r="V91" i="10" s="1"/>
  <c r="S91" i="10"/>
  <c r="R92" i="10"/>
  <c r="AA92" i="10" s="1"/>
  <c r="S92" i="10"/>
  <c r="AF92" i="10" s="1"/>
  <c r="R93" i="10"/>
  <c r="AB93" i="10" s="1"/>
  <c r="S93" i="10"/>
  <c r="R94" i="10"/>
  <c r="S94" i="10"/>
  <c r="R95" i="10"/>
  <c r="U95" i="10" s="1"/>
  <c r="S95" i="10"/>
  <c r="AF95" i="10" s="1"/>
  <c r="R96" i="10"/>
  <c r="S96" i="10"/>
  <c r="AF96" i="10" s="1"/>
  <c r="R97" i="10"/>
  <c r="U97" i="10" s="1"/>
  <c r="S97" i="10"/>
  <c r="AF97" i="10" s="1"/>
  <c r="R98" i="10"/>
  <c r="X98" i="10" s="1"/>
  <c r="S98" i="10"/>
  <c r="R99" i="10"/>
  <c r="X99" i="10" s="1"/>
  <c r="S99" i="10"/>
  <c r="R100" i="10"/>
  <c r="AA100" i="10" s="1"/>
  <c r="S100" i="10"/>
  <c r="AF100" i="10" s="1"/>
  <c r="R101" i="10"/>
  <c r="U101" i="10" s="1"/>
  <c r="S101" i="10"/>
  <c r="AF101" i="10" s="1"/>
  <c r="R102" i="10"/>
  <c r="AB102" i="10" s="1"/>
  <c r="S102" i="10"/>
  <c r="R103" i="10"/>
  <c r="X103" i="10" s="1"/>
  <c r="S103" i="10"/>
  <c r="R104" i="10"/>
  <c r="U104" i="10" s="1"/>
  <c r="S104" i="10"/>
  <c r="AF104" i="10" s="1"/>
  <c r="R105" i="10"/>
  <c r="AA105" i="10" s="1"/>
  <c r="S105" i="10"/>
  <c r="AF105" i="10" s="1"/>
  <c r="R106" i="10"/>
  <c r="V106" i="10" s="1"/>
  <c r="S106" i="10"/>
  <c r="R107" i="10"/>
  <c r="AA107" i="10" s="1"/>
  <c r="S107" i="10"/>
  <c r="AF107" i="10" s="1"/>
  <c r="R108" i="10"/>
  <c r="U108" i="10" s="1"/>
  <c r="S108" i="10"/>
  <c r="AF108" i="10" s="1"/>
  <c r="R109" i="10"/>
  <c r="U109" i="10" s="1"/>
  <c r="S109" i="10"/>
  <c r="AF109" i="10" s="1"/>
  <c r="R110" i="10"/>
  <c r="AB110" i="10" s="1"/>
  <c r="S110" i="10"/>
  <c r="R111" i="10"/>
  <c r="X111" i="10" s="1"/>
  <c r="S111" i="10"/>
  <c r="R112" i="10"/>
  <c r="S112" i="10"/>
  <c r="AF112" i="10" s="1"/>
  <c r="R113" i="10"/>
  <c r="AA113" i="10" s="1"/>
  <c r="S113" i="10"/>
  <c r="AF113" i="10" s="1"/>
  <c r="R114" i="10"/>
  <c r="V114" i="10" s="1"/>
  <c r="S114" i="10"/>
  <c r="AF114" i="10" s="1"/>
  <c r="R115" i="10"/>
  <c r="AB115" i="10" s="1"/>
  <c r="S115" i="10"/>
  <c r="R116" i="10"/>
  <c r="S116" i="10"/>
  <c r="R117" i="10"/>
  <c r="U117" i="10" s="1"/>
  <c r="S117" i="10"/>
  <c r="AF117" i="10" s="1"/>
  <c r="R118" i="10"/>
  <c r="AB118" i="10" s="1"/>
  <c r="S118" i="10"/>
  <c r="AF118" i="10" s="1"/>
  <c r="R119" i="10"/>
  <c r="X119" i="10" s="1"/>
  <c r="S119" i="10"/>
  <c r="R120" i="10"/>
  <c r="U120" i="10" s="1"/>
  <c r="S120" i="10"/>
  <c r="AF120" i="10" s="1"/>
  <c r="R121" i="10"/>
  <c r="AB121" i="10" s="1"/>
  <c r="S121" i="10"/>
  <c r="R122" i="10"/>
  <c r="V122" i="10" s="1"/>
  <c r="S122" i="10"/>
  <c r="R123" i="10"/>
  <c r="X123" i="10" s="1"/>
  <c r="S123" i="10"/>
  <c r="R124" i="10"/>
  <c r="U124" i="10" s="1"/>
  <c r="S124" i="10"/>
  <c r="AF124" i="10" s="1"/>
  <c r="R125" i="10"/>
  <c r="S125" i="10"/>
  <c r="AF125" i="10" s="1"/>
  <c r="R126" i="10"/>
  <c r="X126" i="10" s="1"/>
  <c r="S126" i="10"/>
  <c r="AF126" i="10" s="1"/>
  <c r="R127" i="10"/>
  <c r="X127" i="10" s="1"/>
  <c r="S127" i="10"/>
  <c r="AF127" i="10" s="1"/>
  <c r="R128" i="10"/>
  <c r="U128" i="10" s="1"/>
  <c r="S128" i="10"/>
  <c r="AF128" i="10" s="1"/>
  <c r="R129" i="10"/>
  <c r="AB129" i="10" s="1"/>
  <c r="S129" i="10"/>
  <c r="AF129" i="10" s="1"/>
  <c r="R130" i="10"/>
  <c r="S130" i="10"/>
  <c r="AF130" i="10" s="1"/>
  <c r="R131" i="10"/>
  <c r="U131" i="10" s="1"/>
  <c r="S131" i="10"/>
  <c r="AF131" i="10" s="1"/>
  <c r="R132" i="10"/>
  <c r="V132" i="10" s="1"/>
  <c r="S132" i="10"/>
  <c r="R133" i="10"/>
  <c r="V133" i="10" s="1"/>
  <c r="S133" i="10"/>
  <c r="R134" i="10"/>
  <c r="AA134" i="10" s="1"/>
  <c r="S134" i="10"/>
  <c r="AF134" i="10" s="1"/>
  <c r="R135" i="10"/>
  <c r="X135" i="10" s="1"/>
  <c r="S135" i="10"/>
  <c r="R136" i="10"/>
  <c r="AA136" i="10" s="1"/>
  <c r="S136" i="10"/>
  <c r="R137" i="10"/>
  <c r="AB137" i="10" s="1"/>
  <c r="S137" i="10"/>
  <c r="R138" i="10"/>
  <c r="AA138" i="10" s="1"/>
  <c r="S138" i="10"/>
  <c r="R139" i="10"/>
  <c r="V139" i="10" s="1"/>
  <c r="S139" i="10"/>
  <c r="R140" i="10"/>
  <c r="S140" i="10"/>
  <c r="AF140" i="10" s="1"/>
  <c r="R141" i="10"/>
  <c r="AB141" i="10" s="1"/>
  <c r="S141" i="10"/>
  <c r="R142" i="10"/>
  <c r="AB142" i="10" s="1"/>
  <c r="S142" i="10"/>
  <c r="R143" i="10"/>
  <c r="S143" i="10"/>
  <c r="AF143" i="10" s="1"/>
  <c r="R144" i="10"/>
  <c r="AA144" i="10" s="1"/>
  <c r="S144" i="10"/>
  <c r="AF144" i="10" s="1"/>
  <c r="R145" i="10"/>
  <c r="AA145" i="10" s="1"/>
  <c r="S145" i="10"/>
  <c r="R146" i="10"/>
  <c r="U146" i="10" s="1"/>
  <c r="S146" i="10"/>
  <c r="R147" i="10"/>
  <c r="V147" i="10" s="1"/>
  <c r="S147" i="10"/>
  <c r="R148" i="10"/>
  <c r="AA148" i="10" s="1"/>
  <c r="S148" i="10"/>
  <c r="AF148" i="10" s="1"/>
  <c r="R149" i="10"/>
  <c r="AB149" i="10" s="1"/>
  <c r="S149" i="10"/>
  <c r="R150" i="10"/>
  <c r="AB150" i="10" s="1"/>
  <c r="S150" i="10"/>
  <c r="R151" i="10"/>
  <c r="X151" i="10" s="1"/>
  <c r="S151" i="10"/>
  <c r="AF151" i="10" s="1"/>
  <c r="R152" i="10"/>
  <c r="AA152" i="10" s="1"/>
  <c r="S152" i="10"/>
  <c r="R153" i="10"/>
  <c r="AB153" i="10" s="1"/>
  <c r="S153" i="10"/>
  <c r="R154" i="10"/>
  <c r="U154" i="10" s="1"/>
  <c r="S154" i="10"/>
  <c r="AF154" i="10" s="1"/>
  <c r="R155" i="10"/>
  <c r="V155" i="10" s="1"/>
  <c r="S155" i="10"/>
  <c r="R156" i="10"/>
  <c r="AB156" i="10" s="1"/>
  <c r="S156" i="10"/>
  <c r="R157" i="10"/>
  <c r="AB157" i="10" s="1"/>
  <c r="S157" i="10"/>
  <c r="AF157" i="10" s="1"/>
  <c r="R158" i="10"/>
  <c r="V158" i="10" s="1"/>
  <c r="S158" i="10"/>
  <c r="R159" i="10"/>
  <c r="AB159" i="10" s="1"/>
  <c r="S159" i="10"/>
  <c r="R160" i="10"/>
  <c r="AA160" i="10" s="1"/>
  <c r="S160" i="10"/>
  <c r="AF160" i="10" s="1"/>
  <c r="R161" i="10"/>
  <c r="S161" i="10"/>
  <c r="R162" i="10"/>
  <c r="U162" i="10" s="1"/>
  <c r="S162" i="10"/>
  <c r="R163" i="10"/>
  <c r="X163" i="10" s="1"/>
  <c r="S163" i="10"/>
  <c r="R164" i="10"/>
  <c r="AA164" i="10" s="1"/>
  <c r="S164" i="10"/>
  <c r="AF164" i="10" s="1"/>
  <c r="R165" i="10"/>
  <c r="AB165" i="10" s="1"/>
  <c r="S165" i="10"/>
  <c r="R166" i="10"/>
  <c r="U166" i="10" s="1"/>
  <c r="S166" i="10"/>
  <c r="R167" i="10"/>
  <c r="AA167" i="10" s="1"/>
  <c r="S167" i="10"/>
  <c r="R168" i="10"/>
  <c r="U168" i="10" s="1"/>
  <c r="S168" i="10"/>
  <c r="R169" i="10"/>
  <c r="U169" i="10" s="1"/>
  <c r="S169" i="10"/>
  <c r="R170" i="10"/>
  <c r="AB170" i="10" s="1"/>
  <c r="S170" i="10"/>
  <c r="AF170" i="10" s="1"/>
  <c r="R171" i="10"/>
  <c r="V171" i="10" s="1"/>
  <c r="S171" i="10"/>
  <c r="R172" i="10"/>
  <c r="AB172" i="10" s="1"/>
  <c r="S172" i="10"/>
  <c r="AF172" i="10" s="1"/>
  <c r="R173" i="10"/>
  <c r="U173" i="10" s="1"/>
  <c r="S173" i="10"/>
  <c r="R174" i="10"/>
  <c r="V174" i="10" s="1"/>
  <c r="S174" i="10"/>
  <c r="R175" i="10"/>
  <c r="AB175" i="10" s="1"/>
  <c r="S175" i="10"/>
  <c r="R176" i="10"/>
  <c r="AA176" i="10" s="1"/>
  <c r="S176" i="10"/>
  <c r="AF176" i="10" s="1"/>
  <c r="R177" i="10"/>
  <c r="AB177" i="10" s="1"/>
  <c r="S177" i="10"/>
  <c r="R178" i="10"/>
  <c r="U178" i="10" s="1"/>
  <c r="S178" i="10"/>
  <c r="R179" i="10"/>
  <c r="U179" i="10" s="1"/>
  <c r="S179" i="10"/>
  <c r="R180" i="10"/>
  <c r="AA180" i="10" s="1"/>
  <c r="S180" i="10"/>
  <c r="AF180" i="10" s="1"/>
  <c r="R181" i="10"/>
  <c r="AB181" i="10" s="1"/>
  <c r="S181" i="10"/>
  <c r="R182" i="10"/>
  <c r="V182" i="10" s="1"/>
  <c r="S182" i="10"/>
  <c r="R183" i="10"/>
  <c r="X183" i="10" s="1"/>
  <c r="S183" i="10"/>
  <c r="R184" i="10"/>
  <c r="U184" i="10" s="1"/>
  <c r="S184" i="10"/>
  <c r="R185" i="10"/>
  <c r="AB185" i="10" s="1"/>
  <c r="S185" i="10"/>
  <c r="R186" i="10"/>
  <c r="AA186" i="10" s="1"/>
  <c r="S186" i="10"/>
  <c r="AF186" i="10" s="1"/>
  <c r="R187" i="10"/>
  <c r="V187" i="10" s="1"/>
  <c r="S187" i="10"/>
  <c r="R188" i="10"/>
  <c r="AA188" i="10" s="1"/>
  <c r="S188" i="10"/>
  <c r="AF188" i="10" s="1"/>
  <c r="R189" i="10"/>
  <c r="U189" i="10" s="1"/>
  <c r="S189" i="10"/>
  <c r="R190" i="10"/>
  <c r="U190" i="10" s="1"/>
  <c r="S190" i="10"/>
  <c r="R191" i="10"/>
  <c r="AB191" i="10" s="1"/>
  <c r="S191" i="10"/>
  <c r="R192" i="10"/>
  <c r="AA192" i="10" s="1"/>
  <c r="S192" i="10"/>
  <c r="AF192" i="10" s="1"/>
  <c r="R193" i="10"/>
  <c r="AA193" i="10" s="1"/>
  <c r="S193" i="10"/>
  <c r="R194" i="10"/>
  <c r="X194" i="10" s="1"/>
  <c r="S194" i="10"/>
  <c r="R195" i="10"/>
  <c r="X195" i="10" s="1"/>
  <c r="S195" i="10"/>
  <c r="R196" i="10"/>
  <c r="S196" i="10"/>
  <c r="AF196" i="10" s="1"/>
  <c r="R197" i="10"/>
  <c r="AB197" i="10" s="1"/>
  <c r="S197" i="10"/>
  <c r="AF197" i="10" s="1"/>
  <c r="B26" i="10"/>
  <c r="E26" i="10" s="1"/>
  <c r="C26" i="10"/>
  <c r="P26" i="10" s="1"/>
  <c r="B27" i="10"/>
  <c r="L27" i="10" s="1"/>
  <c r="C27" i="10"/>
  <c r="B28" i="10"/>
  <c r="C28" i="10"/>
  <c r="P28" i="10" s="1"/>
  <c r="B29" i="10"/>
  <c r="L29" i="10" s="1"/>
  <c r="C29" i="10"/>
  <c r="P29" i="10" s="1"/>
  <c r="B30" i="10"/>
  <c r="H30" i="10" s="1"/>
  <c r="C30" i="10"/>
  <c r="B31" i="10"/>
  <c r="E31" i="10" s="1"/>
  <c r="C31" i="10"/>
  <c r="P31" i="10" s="1"/>
  <c r="B32" i="10"/>
  <c r="K32" i="10" s="1"/>
  <c r="C32" i="10"/>
  <c r="P32" i="10" s="1"/>
  <c r="B33" i="10"/>
  <c r="F33" i="10" s="1"/>
  <c r="C33" i="10"/>
  <c r="B34" i="10"/>
  <c r="K34" i="10" s="1"/>
  <c r="C34" i="10"/>
  <c r="P34" i="10" s="1"/>
  <c r="B35" i="10"/>
  <c r="E35" i="10" s="1"/>
  <c r="C35" i="10"/>
  <c r="B36" i="10"/>
  <c r="C36" i="10"/>
  <c r="P36" i="10" s="1"/>
  <c r="B37" i="10"/>
  <c r="L37" i="10" s="1"/>
  <c r="C37" i="10"/>
  <c r="B38" i="10"/>
  <c r="H38" i="10" s="1"/>
  <c r="C38" i="10"/>
  <c r="B39" i="10"/>
  <c r="C39" i="10"/>
  <c r="P39" i="10" s="1"/>
  <c r="B40" i="10"/>
  <c r="K40" i="10" s="1"/>
  <c r="C40" i="10"/>
  <c r="B41" i="10"/>
  <c r="E41" i="10" s="1"/>
  <c r="C41" i="10"/>
  <c r="B42" i="10"/>
  <c r="K42" i="10" s="1"/>
  <c r="C42" i="10"/>
  <c r="B43" i="10"/>
  <c r="C43" i="10"/>
  <c r="P43" i="10" s="1"/>
  <c r="B44" i="10"/>
  <c r="K44" i="10" s="1"/>
  <c r="C44" i="10"/>
  <c r="P44" i="10" s="1"/>
  <c r="B45" i="10"/>
  <c r="L45" i="10" s="1"/>
  <c r="C45" i="10"/>
  <c r="B46" i="10"/>
  <c r="L46" i="10" s="1"/>
  <c r="C46" i="10"/>
  <c r="P46" i="10" s="1"/>
  <c r="B47" i="10"/>
  <c r="F47" i="10" s="1"/>
  <c r="C47" i="10"/>
  <c r="P47" i="10" s="1"/>
  <c r="B48" i="10"/>
  <c r="K48" i="10" s="1"/>
  <c r="C48" i="10"/>
  <c r="B49" i="10"/>
  <c r="F49" i="10" s="1"/>
  <c r="C49" i="10"/>
  <c r="P49" i="10" s="1"/>
  <c r="B50" i="10"/>
  <c r="L50" i="10" s="1"/>
  <c r="C50" i="10"/>
  <c r="P50" i="10" s="1"/>
  <c r="B51" i="10"/>
  <c r="L51" i="10" s="1"/>
  <c r="C51" i="10"/>
  <c r="B52" i="10"/>
  <c r="C52" i="10"/>
  <c r="P52" i="10" s="1"/>
  <c r="B53" i="10"/>
  <c r="C53" i="10"/>
  <c r="P53" i="10" s="1"/>
  <c r="B54" i="10"/>
  <c r="F54" i="10" s="1"/>
  <c r="C54" i="10"/>
  <c r="P54" i="10" s="1"/>
  <c r="B55" i="10"/>
  <c r="F55" i="10" s="1"/>
  <c r="C55" i="10"/>
  <c r="B56" i="10"/>
  <c r="K56" i="10" s="1"/>
  <c r="C56" i="10"/>
  <c r="B57" i="10"/>
  <c r="F57" i="10" s="1"/>
  <c r="C57" i="10"/>
  <c r="B58" i="10"/>
  <c r="L58" i="10" s="1"/>
  <c r="C58" i="10"/>
  <c r="B59" i="10"/>
  <c r="E59" i="10" s="1"/>
  <c r="C59" i="10"/>
  <c r="B60" i="10"/>
  <c r="E60" i="10" s="1"/>
  <c r="C60" i="10"/>
  <c r="P60" i="10" s="1"/>
  <c r="B61" i="10"/>
  <c r="L61" i="10" s="1"/>
  <c r="C61" i="10"/>
  <c r="P61" i="10" s="1"/>
  <c r="B62" i="10"/>
  <c r="H62" i="10" s="1"/>
  <c r="C62" i="10"/>
  <c r="B63" i="10"/>
  <c r="H63" i="10" s="1"/>
  <c r="C63" i="10"/>
  <c r="P63" i="10" s="1"/>
  <c r="B64" i="10"/>
  <c r="C64" i="10"/>
  <c r="P64" i="10" s="1"/>
  <c r="B65" i="10"/>
  <c r="F65" i="10" s="1"/>
  <c r="C65" i="10"/>
  <c r="B66" i="10"/>
  <c r="L66" i="10" s="1"/>
  <c r="C66" i="10"/>
  <c r="B67" i="10"/>
  <c r="H67" i="10" s="1"/>
  <c r="C67" i="10"/>
  <c r="P67" i="10" s="1"/>
  <c r="B68" i="10"/>
  <c r="H68" i="10" s="1"/>
  <c r="C68" i="10"/>
  <c r="P68" i="10" s="1"/>
  <c r="B69" i="10"/>
  <c r="L69" i="10" s="1"/>
  <c r="C69" i="10"/>
  <c r="B70" i="10"/>
  <c r="K70" i="10" s="1"/>
  <c r="C70" i="10"/>
  <c r="B71" i="10"/>
  <c r="F71" i="10" s="1"/>
  <c r="C71" i="10"/>
  <c r="P71" i="10" s="1"/>
  <c r="B72" i="10"/>
  <c r="K72" i="10" s="1"/>
  <c r="C72" i="10"/>
  <c r="B73" i="10"/>
  <c r="F73" i="10" s="1"/>
  <c r="C73" i="10"/>
  <c r="P73" i="10" s="1"/>
  <c r="B74" i="10"/>
  <c r="E74" i="10" s="1"/>
  <c r="C74" i="10"/>
  <c r="B75" i="10"/>
  <c r="F75" i="10" s="1"/>
  <c r="C75" i="10"/>
  <c r="P75" i="10" s="1"/>
  <c r="B76" i="10"/>
  <c r="E76" i="10" s="1"/>
  <c r="C76" i="10"/>
  <c r="P76" i="10" s="1"/>
  <c r="B77" i="10"/>
  <c r="F77" i="10" s="1"/>
  <c r="C77" i="10"/>
  <c r="B78" i="10"/>
  <c r="H78" i="10" s="1"/>
  <c r="C78" i="10"/>
  <c r="B79" i="10"/>
  <c r="H79" i="10" s="1"/>
  <c r="C79" i="10"/>
  <c r="P79" i="10" s="1"/>
  <c r="B80" i="10"/>
  <c r="K80" i="10" s="1"/>
  <c r="C80" i="10"/>
  <c r="B81" i="10"/>
  <c r="E81" i="10" s="1"/>
  <c r="C81" i="10"/>
  <c r="P81" i="10" s="1"/>
  <c r="B82" i="10"/>
  <c r="C82" i="10"/>
  <c r="B83" i="10"/>
  <c r="H83" i="10" s="1"/>
  <c r="C83" i="10"/>
  <c r="B84" i="10"/>
  <c r="E84" i="10" s="1"/>
  <c r="C84" i="10"/>
  <c r="P84" i="10" s="1"/>
  <c r="B85" i="10"/>
  <c r="L85" i="10" s="1"/>
  <c r="C85" i="10"/>
  <c r="P85" i="10" s="1"/>
  <c r="B86" i="10"/>
  <c r="H86" i="10" s="1"/>
  <c r="C86" i="10"/>
  <c r="P86" i="10" s="1"/>
  <c r="B87" i="10"/>
  <c r="C87" i="10"/>
  <c r="P87" i="10" s="1"/>
  <c r="B88" i="10"/>
  <c r="H88" i="10" s="1"/>
  <c r="C88" i="10"/>
  <c r="B89" i="10"/>
  <c r="F89" i="10" s="1"/>
  <c r="C89" i="10"/>
  <c r="B90" i="10"/>
  <c r="H90" i="10" s="1"/>
  <c r="C90" i="10"/>
  <c r="B91" i="10"/>
  <c r="E91" i="10" s="1"/>
  <c r="C91" i="10"/>
  <c r="B92" i="10"/>
  <c r="H92" i="10" s="1"/>
  <c r="C92" i="10"/>
  <c r="P92" i="10" s="1"/>
  <c r="B93" i="10"/>
  <c r="L93" i="10" s="1"/>
  <c r="C93" i="10"/>
  <c r="P93" i="10" s="1"/>
  <c r="B94" i="10"/>
  <c r="C94" i="10"/>
  <c r="P94" i="10" s="1"/>
  <c r="B95" i="10"/>
  <c r="F95" i="10" s="1"/>
  <c r="C95" i="10"/>
  <c r="P95" i="10" s="1"/>
  <c r="B96" i="10"/>
  <c r="C96" i="10"/>
  <c r="P96" i="10" s="1"/>
  <c r="B97" i="10"/>
  <c r="F97" i="10" s="1"/>
  <c r="C97" i="10"/>
  <c r="B98" i="10"/>
  <c r="E98" i="10" s="1"/>
  <c r="C98" i="10"/>
  <c r="P98" i="10" s="1"/>
  <c r="B99" i="10"/>
  <c r="E99" i="10" s="1"/>
  <c r="C99" i="10"/>
  <c r="B100" i="10"/>
  <c r="F100" i="10" s="1"/>
  <c r="C100" i="10"/>
  <c r="B101" i="10"/>
  <c r="F101" i="10" s="1"/>
  <c r="C101" i="10"/>
  <c r="P101" i="10" s="1"/>
  <c r="B102" i="10"/>
  <c r="F102" i="10" s="1"/>
  <c r="C102" i="10"/>
  <c r="P102" i="10" s="1"/>
  <c r="B103" i="10"/>
  <c r="H103" i="10" s="1"/>
  <c r="C103" i="10"/>
  <c r="B104" i="10"/>
  <c r="F104" i="10" s="1"/>
  <c r="C104" i="10"/>
  <c r="B105" i="10"/>
  <c r="E105" i="10" s="1"/>
  <c r="C105" i="10"/>
  <c r="B106" i="10"/>
  <c r="L106" i="10" s="1"/>
  <c r="C106" i="10"/>
  <c r="B107" i="10"/>
  <c r="L107" i="10" s="1"/>
  <c r="C107" i="10"/>
  <c r="P107" i="10" s="1"/>
  <c r="B108" i="10"/>
  <c r="E108" i="10" s="1"/>
  <c r="C108" i="10"/>
  <c r="B109" i="10"/>
  <c r="H109" i="10" s="1"/>
  <c r="C109" i="10"/>
  <c r="P109" i="10" s="1"/>
  <c r="B110" i="10"/>
  <c r="L110" i="10" s="1"/>
  <c r="C110" i="10"/>
  <c r="P110" i="10" s="1"/>
  <c r="B111" i="10"/>
  <c r="E111" i="10" s="1"/>
  <c r="C111" i="10"/>
  <c r="B112" i="10"/>
  <c r="F112" i="10" s="1"/>
  <c r="C112" i="10"/>
  <c r="P112" i="10" s="1"/>
  <c r="B113" i="10"/>
  <c r="K113" i="10" s="1"/>
  <c r="C113" i="10"/>
  <c r="B114" i="10"/>
  <c r="C114" i="10"/>
  <c r="P114" i="10" s="1"/>
  <c r="B115" i="10"/>
  <c r="K115" i="10" s="1"/>
  <c r="C115" i="10"/>
  <c r="B116" i="10"/>
  <c r="L116" i="10" s="1"/>
  <c r="C116" i="10"/>
  <c r="P116" i="10" s="1"/>
  <c r="B117" i="10"/>
  <c r="F117" i="10" s="1"/>
  <c r="C117" i="10"/>
  <c r="P117" i="10" s="1"/>
  <c r="B118" i="10"/>
  <c r="F118" i="10" s="1"/>
  <c r="C118" i="10"/>
  <c r="P118" i="10" s="1"/>
  <c r="B119" i="10"/>
  <c r="H119" i="10" s="1"/>
  <c r="C119" i="10"/>
  <c r="B120" i="10"/>
  <c r="C120" i="10"/>
  <c r="P120" i="10" s="1"/>
  <c r="B121" i="10"/>
  <c r="C121" i="10"/>
  <c r="B122" i="10"/>
  <c r="H122" i="10" s="1"/>
  <c r="C122" i="10"/>
  <c r="P122" i="10" s="1"/>
  <c r="B123" i="10"/>
  <c r="K123" i="10" s="1"/>
  <c r="C123" i="10"/>
  <c r="B124" i="10"/>
  <c r="E124" i="10" s="1"/>
  <c r="C124" i="10"/>
  <c r="B125" i="10"/>
  <c r="E125" i="10" s="1"/>
  <c r="C125" i="10"/>
  <c r="P125" i="10" s="1"/>
  <c r="B126" i="10"/>
  <c r="E126" i="10" s="1"/>
  <c r="C126" i="10"/>
  <c r="P126" i="10" s="1"/>
  <c r="B127" i="10"/>
  <c r="L127" i="10" s="1"/>
  <c r="C127" i="10"/>
  <c r="B128" i="10"/>
  <c r="L128" i="10" s="1"/>
  <c r="C128" i="10"/>
  <c r="P128" i="10" s="1"/>
  <c r="B129" i="10"/>
  <c r="F129" i="10" s="1"/>
  <c r="C129" i="10"/>
  <c r="P129" i="10" s="1"/>
  <c r="B130" i="10"/>
  <c r="F130" i="10" s="1"/>
  <c r="C130" i="10"/>
  <c r="B131" i="10"/>
  <c r="K131" i="10" s="1"/>
  <c r="C131" i="10"/>
  <c r="B132" i="10"/>
  <c r="F132" i="10" s="1"/>
  <c r="C132" i="10"/>
  <c r="P132" i="10" s="1"/>
  <c r="B133" i="10"/>
  <c r="C133" i="10"/>
  <c r="B134" i="10"/>
  <c r="L134" i="10" s="1"/>
  <c r="C134" i="10"/>
  <c r="P134" i="10" s="1"/>
  <c r="B135" i="10"/>
  <c r="E135" i="10" s="1"/>
  <c r="C135" i="10"/>
  <c r="B136" i="10"/>
  <c r="H136" i="10" s="1"/>
  <c r="C136" i="10"/>
  <c r="B137" i="10"/>
  <c r="H137" i="10" s="1"/>
  <c r="C137" i="10"/>
  <c r="B138" i="10"/>
  <c r="H138" i="10" s="1"/>
  <c r="C138" i="10"/>
  <c r="P138" i="10" s="1"/>
  <c r="B139" i="10"/>
  <c r="K139" i="10" s="1"/>
  <c r="C139" i="10"/>
  <c r="B140" i="10"/>
  <c r="K140" i="10" s="1"/>
  <c r="C140" i="10"/>
  <c r="P140" i="10" s="1"/>
  <c r="B141" i="10"/>
  <c r="C141" i="10"/>
  <c r="P141" i="10" s="1"/>
  <c r="B142" i="10"/>
  <c r="E142" i="10" s="1"/>
  <c r="C142" i="10"/>
  <c r="B143" i="10"/>
  <c r="H143" i="10" s="1"/>
  <c r="C143" i="10"/>
  <c r="P143" i="10" s="1"/>
  <c r="B144" i="10"/>
  <c r="E144" i="10" s="1"/>
  <c r="C144" i="10"/>
  <c r="B145" i="10"/>
  <c r="F145" i="10" s="1"/>
  <c r="C145" i="10"/>
  <c r="B146" i="10"/>
  <c r="F146" i="10" s="1"/>
  <c r="C146" i="10"/>
  <c r="B147" i="10"/>
  <c r="F147" i="10" s="1"/>
  <c r="C147" i="10"/>
  <c r="P147" i="10" s="1"/>
  <c r="B148" i="10"/>
  <c r="F148" i="10" s="1"/>
  <c r="C148" i="10"/>
  <c r="B149" i="10"/>
  <c r="L149" i="10" s="1"/>
  <c r="C149" i="10"/>
  <c r="B150" i="10"/>
  <c r="F150" i="10" s="1"/>
  <c r="C150" i="10"/>
  <c r="B151" i="10"/>
  <c r="F151" i="10" s="1"/>
  <c r="C151" i="10"/>
  <c r="P151" i="10" s="1"/>
  <c r="B152" i="10"/>
  <c r="E152" i="10" s="1"/>
  <c r="C152" i="10"/>
  <c r="B153" i="10"/>
  <c r="K153" i="10" s="1"/>
  <c r="C153" i="10"/>
  <c r="B154" i="10"/>
  <c r="H154" i="10" s="1"/>
  <c r="C154" i="10"/>
  <c r="P154" i="10" s="1"/>
  <c r="B155" i="10"/>
  <c r="H155" i="10" s="1"/>
  <c r="C155" i="10"/>
  <c r="P155" i="10" s="1"/>
  <c r="B156" i="10"/>
  <c r="E156" i="10" s="1"/>
  <c r="C156" i="10"/>
  <c r="P156" i="10" s="1"/>
  <c r="B157" i="10"/>
  <c r="K157" i="10" s="1"/>
  <c r="C157" i="10"/>
  <c r="P157" i="10" s="1"/>
  <c r="B158" i="10"/>
  <c r="H158" i="10" s="1"/>
  <c r="C158" i="10"/>
  <c r="B159" i="10"/>
  <c r="K159" i="10" s="1"/>
  <c r="C159" i="10"/>
  <c r="P159" i="10" s="1"/>
  <c r="B160" i="10"/>
  <c r="H160" i="10" s="1"/>
  <c r="C160" i="10"/>
  <c r="P160" i="10" s="1"/>
  <c r="B161" i="10"/>
  <c r="H161" i="10" s="1"/>
  <c r="C161" i="10"/>
  <c r="B162" i="10"/>
  <c r="E162" i="10" s="1"/>
  <c r="C162" i="10"/>
  <c r="P162" i="10" s="1"/>
  <c r="B163" i="10"/>
  <c r="C163" i="10"/>
  <c r="B164" i="10"/>
  <c r="C164" i="10"/>
  <c r="B165" i="10"/>
  <c r="H165" i="10" s="1"/>
  <c r="C165" i="10"/>
  <c r="P165" i="10" s="1"/>
  <c r="B166" i="10"/>
  <c r="H166" i="10" s="1"/>
  <c r="C166" i="10"/>
  <c r="B167" i="10"/>
  <c r="E167" i="10" s="1"/>
  <c r="C167" i="10"/>
  <c r="P167" i="10" s="1"/>
  <c r="B168" i="10"/>
  <c r="H168" i="10" s="1"/>
  <c r="C168" i="10"/>
  <c r="B169" i="10"/>
  <c r="F169" i="10" s="1"/>
  <c r="C169" i="10"/>
  <c r="B170" i="10"/>
  <c r="F170" i="10" s="1"/>
  <c r="C170" i="10"/>
  <c r="P170" i="10" s="1"/>
  <c r="B171" i="10"/>
  <c r="E171" i="10" s="1"/>
  <c r="C171" i="10"/>
  <c r="P171" i="10" s="1"/>
  <c r="B172" i="10"/>
  <c r="F172" i="10" s="1"/>
  <c r="C172" i="10"/>
  <c r="B173" i="10"/>
  <c r="K173" i="10" s="1"/>
  <c r="C173" i="10"/>
  <c r="P173" i="10" s="1"/>
  <c r="B174" i="10"/>
  <c r="C174" i="10"/>
  <c r="I174" i="10" s="1"/>
  <c r="B175" i="10"/>
  <c r="E175" i="10" s="1"/>
  <c r="C175" i="10"/>
  <c r="I175" i="10" s="1"/>
  <c r="B176" i="10"/>
  <c r="K176" i="10" s="1"/>
  <c r="C176" i="10"/>
  <c r="B177" i="10"/>
  <c r="E177" i="10" s="1"/>
  <c r="C177" i="10"/>
  <c r="B178" i="10"/>
  <c r="H178" i="10" s="1"/>
  <c r="C178" i="10"/>
  <c r="P178" i="10" s="1"/>
  <c r="B179" i="10"/>
  <c r="K179" i="10" s="1"/>
  <c r="C179" i="10"/>
  <c r="B180" i="10"/>
  <c r="H180" i="10" s="1"/>
  <c r="C180" i="10"/>
  <c r="B181" i="10"/>
  <c r="K181" i="10" s="1"/>
  <c r="C181" i="10"/>
  <c r="B182" i="10"/>
  <c r="L182" i="10" s="1"/>
  <c r="C182" i="10"/>
  <c r="P182" i="10" s="1"/>
  <c r="B183" i="10"/>
  <c r="H183" i="10" s="1"/>
  <c r="C183" i="10"/>
  <c r="P183" i="10" s="1"/>
  <c r="B184" i="10"/>
  <c r="L184" i="10" s="1"/>
  <c r="C184" i="10"/>
  <c r="B185" i="10"/>
  <c r="E185" i="10" s="1"/>
  <c r="C185" i="10"/>
  <c r="B186" i="10"/>
  <c r="F186" i="10" s="1"/>
  <c r="C186" i="10"/>
  <c r="P186" i="10" s="1"/>
  <c r="B187" i="10"/>
  <c r="F187" i="10" s="1"/>
  <c r="C187" i="10"/>
  <c r="B188" i="10"/>
  <c r="H188" i="10" s="1"/>
  <c r="C188" i="10"/>
  <c r="P188" i="10" s="1"/>
  <c r="B189" i="10"/>
  <c r="K189" i="10" s="1"/>
  <c r="C189" i="10"/>
  <c r="P189" i="10" s="1"/>
  <c r="B190" i="10"/>
  <c r="L190" i="10" s="1"/>
  <c r="C190" i="10"/>
  <c r="I190" i="10" s="1"/>
  <c r="B191" i="10"/>
  <c r="E191" i="10" s="1"/>
  <c r="C191" i="10"/>
  <c r="P191" i="10" s="1"/>
  <c r="B192" i="10"/>
  <c r="H192" i="10" s="1"/>
  <c r="C192" i="10"/>
  <c r="I192" i="10" s="1"/>
  <c r="B193" i="10"/>
  <c r="E193" i="10" s="1"/>
  <c r="C193" i="10"/>
  <c r="B194" i="10"/>
  <c r="C194" i="10"/>
  <c r="P194" i="10" s="1"/>
  <c r="B195" i="10"/>
  <c r="E195" i="10" s="1"/>
  <c r="C195" i="10"/>
  <c r="I195" i="10" s="1"/>
  <c r="B196" i="10"/>
  <c r="H196" i="10" s="1"/>
  <c r="C196" i="10"/>
  <c r="I196" i="10" s="1"/>
  <c r="B197" i="10"/>
  <c r="C197" i="10"/>
  <c r="B198" i="10"/>
  <c r="L198" i="10" s="1"/>
  <c r="C198" i="10"/>
  <c r="P198" i="10" s="1"/>
  <c r="B199" i="10"/>
  <c r="F199" i="10" s="1"/>
  <c r="C199" i="10"/>
  <c r="P199" i="10" s="1"/>
  <c r="AD75" i="4"/>
  <c r="Z75" i="4"/>
  <c r="P75" i="4"/>
  <c r="L75" i="4"/>
  <c r="H75" i="4"/>
  <c r="T34" i="2"/>
  <c r="P34" i="2"/>
  <c r="M34" i="2"/>
  <c r="J34" i="2"/>
  <c r="D34" i="2"/>
  <c r="A34" i="2"/>
  <c r="I197" i="10" l="1"/>
  <c r="I184" i="10"/>
  <c r="AA31" i="10"/>
  <c r="I198" i="10"/>
  <c r="F189" i="10"/>
  <c r="Y168" i="10"/>
  <c r="Y179" i="10"/>
  <c r="Y175" i="10"/>
  <c r="Y171" i="10"/>
  <c r="Y163" i="10"/>
  <c r="AD163" i="10" s="1"/>
  <c r="Y159" i="10"/>
  <c r="Y155" i="10"/>
  <c r="Y178" i="10"/>
  <c r="Y174" i="10"/>
  <c r="Y166" i="10"/>
  <c r="Y162" i="10"/>
  <c r="Y158" i="10"/>
  <c r="Y177" i="10"/>
  <c r="Y173" i="10"/>
  <c r="Y165" i="10"/>
  <c r="Y161" i="10"/>
  <c r="H181" i="10"/>
  <c r="I181" i="10"/>
  <c r="N181" i="10" s="1"/>
  <c r="I162" i="10"/>
  <c r="I158" i="10"/>
  <c r="N158" i="10" s="1"/>
  <c r="Y154" i="10"/>
  <c r="I180" i="10"/>
  <c r="I176" i="10"/>
  <c r="I172" i="10"/>
  <c r="L168" i="10"/>
  <c r="I161" i="10"/>
  <c r="Y195" i="10"/>
  <c r="AD195" i="10" s="1"/>
  <c r="Y191" i="10"/>
  <c r="Y187" i="10"/>
  <c r="Y152" i="10"/>
  <c r="Y194" i="10"/>
  <c r="AD194" i="10" s="1"/>
  <c r="Y190" i="10"/>
  <c r="Y182" i="10"/>
  <c r="Y147" i="10"/>
  <c r="Y27" i="10"/>
  <c r="Y193" i="10"/>
  <c r="Y189" i="10"/>
  <c r="Y181" i="10"/>
  <c r="Y184" i="10"/>
  <c r="AB180" i="10"/>
  <c r="Y153" i="10"/>
  <c r="Y149" i="10"/>
  <c r="Y196" i="10"/>
  <c r="AF159" i="10"/>
  <c r="V192" i="10"/>
  <c r="AA169" i="10"/>
  <c r="U158" i="10"/>
  <c r="U193" i="10"/>
  <c r="I163" i="10"/>
  <c r="I144" i="10"/>
  <c r="I166" i="10"/>
  <c r="N166" i="10" s="1"/>
  <c r="K146" i="10"/>
  <c r="I146" i="10"/>
  <c r="I168" i="10"/>
  <c r="N168" i="10" s="1"/>
  <c r="I164" i="10"/>
  <c r="I145" i="10"/>
  <c r="K178" i="10"/>
  <c r="F171" i="10"/>
  <c r="E181" i="10"/>
  <c r="V176" i="10"/>
  <c r="I189" i="10"/>
  <c r="H182" i="10"/>
  <c r="P172" i="10"/>
  <c r="X186" i="10"/>
  <c r="P158" i="10"/>
  <c r="F143" i="10"/>
  <c r="Y176" i="10"/>
  <c r="X173" i="10"/>
  <c r="AF182" i="10"/>
  <c r="V197" i="10"/>
  <c r="AA178" i="10"/>
  <c r="AB193" i="10"/>
  <c r="I150" i="10"/>
  <c r="E153" i="10"/>
  <c r="I153" i="10"/>
  <c r="I149" i="10"/>
  <c r="I142" i="10"/>
  <c r="I152" i="10"/>
  <c r="I148" i="10"/>
  <c r="P145" i="10"/>
  <c r="P174" i="10"/>
  <c r="AA181" i="10"/>
  <c r="H176" i="10"/>
  <c r="U181" i="10"/>
  <c r="E158" i="10"/>
  <c r="U147" i="10"/>
  <c r="L181" i="10"/>
  <c r="F176" i="10"/>
  <c r="I160" i="10"/>
  <c r="I82" i="10"/>
  <c r="I74" i="10"/>
  <c r="I62" i="10"/>
  <c r="N62" i="10" s="1"/>
  <c r="I30" i="10"/>
  <c r="N30" i="10" s="1"/>
  <c r="U195" i="10"/>
  <c r="U186" i="10"/>
  <c r="AF165" i="10"/>
  <c r="AA153" i="10"/>
  <c r="X155" i="10"/>
  <c r="U153" i="10"/>
  <c r="E176" i="10"/>
  <c r="E160" i="10"/>
  <c r="F181" i="10"/>
  <c r="I37" i="10"/>
  <c r="I33" i="10"/>
  <c r="Y160" i="10"/>
  <c r="U185" i="10"/>
  <c r="AB167" i="10"/>
  <c r="L189" i="10"/>
  <c r="P149" i="10"/>
  <c r="H146" i="10"/>
  <c r="L143" i="10"/>
  <c r="I56" i="10"/>
  <c r="V160" i="10"/>
  <c r="X152" i="10"/>
  <c r="U197" i="10"/>
  <c r="AB186" i="10"/>
  <c r="U182" i="10"/>
  <c r="AF178" i="10"/>
  <c r="X176" i="10"/>
  <c r="U171" i="10"/>
  <c r="AB169" i="10"/>
  <c r="Y164" i="10"/>
  <c r="AB158" i="10"/>
  <c r="AA156" i="10"/>
  <c r="AB154" i="10"/>
  <c r="U67" i="10"/>
  <c r="V186" i="10"/>
  <c r="Y180" i="10"/>
  <c r="AF166" i="10"/>
  <c r="Y148" i="10"/>
  <c r="AF181" i="10"/>
  <c r="AA170" i="10"/>
  <c r="AF193" i="10"/>
  <c r="AF191" i="10"/>
  <c r="AF175" i="10"/>
  <c r="Y170" i="10"/>
  <c r="AF168" i="10"/>
  <c r="Y157" i="10"/>
  <c r="U155" i="10"/>
  <c r="AF153" i="10"/>
  <c r="V179" i="10"/>
  <c r="X175" i="10"/>
  <c r="AA172" i="10"/>
  <c r="U170" i="10"/>
  <c r="U157" i="10"/>
  <c r="X147" i="10"/>
  <c r="V195" i="10"/>
  <c r="AA185" i="10"/>
  <c r="Y30" i="10"/>
  <c r="AD30" i="10" s="1"/>
  <c r="X67" i="10"/>
  <c r="L150" i="10"/>
  <c r="L165" i="10"/>
  <c r="L199" i="10"/>
  <c r="P190" i="10"/>
  <c r="L175" i="10"/>
  <c r="F165" i="10"/>
  <c r="L167" i="10"/>
  <c r="K199" i="10"/>
  <c r="K167" i="10"/>
  <c r="H150" i="10"/>
  <c r="K165" i="10"/>
  <c r="K150" i="10"/>
  <c r="H157" i="10"/>
  <c r="L154" i="10"/>
  <c r="H199" i="10"/>
  <c r="H175" i="10"/>
  <c r="N175" i="10" s="1"/>
  <c r="E165" i="10"/>
  <c r="F157" i="10"/>
  <c r="K154" i="10"/>
  <c r="E150" i="10"/>
  <c r="E199" i="10"/>
  <c r="H190" i="10"/>
  <c r="N190" i="10" s="1"/>
  <c r="K188" i="10"/>
  <c r="P176" i="10"/>
  <c r="E154" i="10"/>
  <c r="P196" i="10"/>
  <c r="I188" i="10"/>
  <c r="N188" i="10" s="1"/>
  <c r="P168" i="10"/>
  <c r="K151" i="10"/>
  <c r="I87" i="10"/>
  <c r="I77" i="10"/>
  <c r="K71" i="10"/>
  <c r="K29" i="10"/>
  <c r="K170" i="10"/>
  <c r="Y186" i="10"/>
  <c r="AD186" i="10" s="1"/>
  <c r="AA159" i="10"/>
  <c r="AB151" i="10"/>
  <c r="E198" i="10"/>
  <c r="E183" i="10"/>
  <c r="F179" i="10"/>
  <c r="H177" i="10"/>
  <c r="H170" i="10"/>
  <c r="L157" i="10"/>
  <c r="H156" i="10"/>
  <c r="F149" i="10"/>
  <c r="I115" i="10"/>
  <c r="F107" i="10"/>
  <c r="I88" i="10"/>
  <c r="N88" i="10" s="1"/>
  <c r="AB188" i="10"/>
  <c r="U176" i="10"/>
  <c r="X167" i="10"/>
  <c r="V163" i="10"/>
  <c r="V154" i="10"/>
  <c r="AA151" i="10"/>
  <c r="V149" i="10"/>
  <c r="Y130" i="10"/>
  <c r="Y122" i="10"/>
  <c r="L177" i="10"/>
  <c r="L156" i="10"/>
  <c r="H149" i="10"/>
  <c r="L188" i="10"/>
  <c r="K171" i="10"/>
  <c r="P164" i="10"/>
  <c r="I157" i="10"/>
  <c r="I154" i="10"/>
  <c r="N154" i="10" s="1"/>
  <c r="E149" i="10"/>
  <c r="L146" i="10"/>
  <c r="P142" i="10"/>
  <c r="AF194" i="10"/>
  <c r="AF184" i="10"/>
  <c r="AB182" i="10"/>
  <c r="X181" i="10"/>
  <c r="AD181" i="10" s="1"/>
  <c r="AE181" i="10" s="1"/>
  <c r="X170" i="10"/>
  <c r="V165" i="10"/>
  <c r="U163" i="10"/>
  <c r="X159" i="10"/>
  <c r="AF152" i="10"/>
  <c r="U149" i="10"/>
  <c r="X132" i="10"/>
  <c r="I173" i="10"/>
  <c r="I171" i="10"/>
  <c r="P144" i="10"/>
  <c r="X192" i="10"/>
  <c r="V181" i="10"/>
  <c r="AF177" i="10"/>
  <c r="X171" i="10"/>
  <c r="AD171" i="10" s="1"/>
  <c r="V170" i="10"/>
  <c r="X157" i="10"/>
  <c r="X50" i="10"/>
  <c r="H189" i="10"/>
  <c r="E188" i="10"/>
  <c r="E182" i="10"/>
  <c r="L176" i="10"/>
  <c r="I167" i="10"/>
  <c r="F158" i="10"/>
  <c r="E157" i="10"/>
  <c r="E146" i="10"/>
  <c r="E86" i="10"/>
  <c r="E40" i="10"/>
  <c r="X197" i="10"/>
  <c r="U192" i="10"/>
  <c r="AA175" i="10"/>
  <c r="V166" i="10"/>
  <c r="AB164" i="10"/>
  <c r="AF162" i="10"/>
  <c r="AF158" i="10"/>
  <c r="U152" i="10"/>
  <c r="V150" i="10"/>
  <c r="AB148" i="10"/>
  <c r="Y131" i="10"/>
  <c r="Y65" i="10"/>
  <c r="AB183" i="10"/>
  <c r="U150" i="10"/>
  <c r="V123" i="10"/>
  <c r="Y38" i="10"/>
  <c r="AD38" i="10" s="1"/>
  <c r="P150" i="10"/>
  <c r="K149" i="10"/>
  <c r="I147" i="10"/>
  <c r="L183" i="10"/>
  <c r="V119" i="10"/>
  <c r="Y95" i="10"/>
  <c r="U132" i="10"/>
  <c r="Y106" i="10"/>
  <c r="Y79" i="10"/>
  <c r="U57" i="10"/>
  <c r="Y35" i="10"/>
  <c r="U85" i="10"/>
  <c r="Y116" i="10"/>
  <c r="Y81" i="10"/>
  <c r="U66" i="10"/>
  <c r="Y59" i="10"/>
  <c r="Y37" i="10"/>
  <c r="AA106" i="10"/>
  <c r="V37" i="10"/>
  <c r="AB146" i="10"/>
  <c r="U106" i="10"/>
  <c r="AB54" i="10"/>
  <c r="U40" i="10"/>
  <c r="U107" i="10"/>
  <c r="U75" i="10"/>
  <c r="U38" i="10"/>
  <c r="V35" i="10"/>
  <c r="X122" i="10"/>
  <c r="AA95" i="10"/>
  <c r="U145" i="10"/>
  <c r="U118" i="10"/>
  <c r="Y114" i="10"/>
  <c r="AB107" i="10"/>
  <c r="V95" i="10"/>
  <c r="V62" i="10"/>
  <c r="V59" i="10"/>
  <c r="X56" i="10"/>
  <c r="AA127" i="10"/>
  <c r="X107" i="10"/>
  <c r="U105" i="10"/>
  <c r="Y80" i="10"/>
  <c r="Y45" i="10"/>
  <c r="AB39" i="10"/>
  <c r="E107" i="10"/>
  <c r="I137" i="10"/>
  <c r="N137" i="10" s="1"/>
  <c r="I133" i="10"/>
  <c r="I103" i="10"/>
  <c r="N103" i="10" s="1"/>
  <c r="P88" i="10"/>
  <c r="F42" i="10"/>
  <c r="H35" i="10"/>
  <c r="E116" i="10"/>
  <c r="F90" i="10"/>
  <c r="I80" i="10"/>
  <c r="I65" i="10"/>
  <c r="F139" i="10"/>
  <c r="I139" i="10"/>
  <c r="E119" i="10"/>
  <c r="I38" i="10"/>
  <c r="N38" i="10" s="1"/>
  <c r="I27" i="10"/>
  <c r="H130" i="10"/>
  <c r="K107" i="10"/>
  <c r="L83" i="10"/>
  <c r="H27" i="10"/>
  <c r="E139" i="10"/>
  <c r="N161" i="10"/>
  <c r="P56" i="10"/>
  <c r="I73" i="10"/>
  <c r="L191" i="10"/>
  <c r="P184" i="10"/>
  <c r="P181" i="10"/>
  <c r="P180" i="10"/>
  <c r="P179" i="10"/>
  <c r="I179" i="10"/>
  <c r="K177" i="10"/>
  <c r="F175" i="10"/>
  <c r="K175" i="10"/>
  <c r="L172" i="10"/>
  <c r="K168" i="10"/>
  <c r="F160" i="10"/>
  <c r="F156" i="10"/>
  <c r="K156" i="10"/>
  <c r="I151" i="10"/>
  <c r="F141" i="10"/>
  <c r="L141" i="10"/>
  <c r="K134" i="10"/>
  <c r="I123" i="10"/>
  <c r="AA194" i="10"/>
  <c r="V190" i="10"/>
  <c r="AB190" i="10"/>
  <c r="V178" i="10"/>
  <c r="X178" i="10"/>
  <c r="AD178" i="10" s="1"/>
  <c r="AB178" i="10"/>
  <c r="AB173" i="10"/>
  <c r="AA173" i="10"/>
  <c r="V173" i="10"/>
  <c r="AA168" i="10"/>
  <c r="X168" i="10"/>
  <c r="AD168" i="10" s="1"/>
  <c r="V168" i="10"/>
  <c r="AA140" i="10"/>
  <c r="AB140" i="10"/>
  <c r="K197" i="10"/>
  <c r="L197" i="10"/>
  <c r="L169" i="10"/>
  <c r="F168" i="10"/>
  <c r="I165" i="10"/>
  <c r="N165" i="10" s="1"/>
  <c r="L155" i="10"/>
  <c r="P152" i="10"/>
  <c r="P146" i="10"/>
  <c r="Y197" i="10"/>
  <c r="AA196" i="10"/>
  <c r="AB196" i="10"/>
  <c r="AA191" i="10"/>
  <c r="AA189" i="10"/>
  <c r="X187" i="10"/>
  <c r="AB174" i="10"/>
  <c r="X162" i="10"/>
  <c r="AA162" i="10"/>
  <c r="AB162" i="10"/>
  <c r="V162" i="10"/>
  <c r="AF156" i="10"/>
  <c r="Y156" i="10"/>
  <c r="Y150" i="10"/>
  <c r="AF150" i="10"/>
  <c r="X94" i="10"/>
  <c r="V94" i="10"/>
  <c r="K191" i="10"/>
  <c r="F134" i="10"/>
  <c r="L192" i="10"/>
  <c r="I191" i="10"/>
  <c r="I187" i="10"/>
  <c r="P187" i="10"/>
  <c r="H184" i="10"/>
  <c r="N184" i="10" s="1"/>
  <c r="H169" i="10"/>
  <c r="E168" i="10"/>
  <c r="F167" i="10"/>
  <c r="H167" i="10"/>
  <c r="I155" i="10"/>
  <c r="N155" i="10" s="1"/>
  <c r="H152" i="10"/>
  <c r="P148" i="10"/>
  <c r="E134" i="10"/>
  <c r="K125" i="10"/>
  <c r="K82" i="10"/>
  <c r="F82" i="10"/>
  <c r="Y192" i="10"/>
  <c r="U187" i="10"/>
  <c r="U174" i="10"/>
  <c r="AB143" i="10"/>
  <c r="X143" i="10"/>
  <c r="X96" i="10"/>
  <c r="U96" i="10"/>
  <c r="V96" i="10"/>
  <c r="L131" i="10"/>
  <c r="E131" i="10"/>
  <c r="L133" i="10"/>
  <c r="E133" i="10"/>
  <c r="I199" i="10"/>
  <c r="K184" i="10"/>
  <c r="K180" i="10"/>
  <c r="K192" i="10"/>
  <c r="F184" i="10"/>
  <c r="F183" i="10"/>
  <c r="K183" i="10"/>
  <c r="F180" i="10"/>
  <c r="I178" i="10"/>
  <c r="N178" i="10" s="1"/>
  <c r="P175" i="10"/>
  <c r="L166" i="10"/>
  <c r="P163" i="10"/>
  <c r="F152" i="10"/>
  <c r="E143" i="10"/>
  <c r="K143" i="10"/>
  <c r="E136" i="10"/>
  <c r="H131" i="10"/>
  <c r="F125" i="10"/>
  <c r="L115" i="10"/>
  <c r="P77" i="10"/>
  <c r="E54" i="10"/>
  <c r="L54" i="10"/>
  <c r="X191" i="10"/>
  <c r="AA184" i="10"/>
  <c r="V184" i="10"/>
  <c r="X184" i="10"/>
  <c r="Y169" i="10"/>
  <c r="AF169" i="10"/>
  <c r="Y167" i="10"/>
  <c r="AF167" i="10"/>
  <c r="U161" i="10"/>
  <c r="AA161" i="10"/>
  <c r="AB161" i="10"/>
  <c r="Y151" i="10"/>
  <c r="AD151" i="10" s="1"/>
  <c r="AF149" i="10"/>
  <c r="K163" i="10"/>
  <c r="E163" i="10"/>
  <c r="P197" i="10"/>
  <c r="F192" i="10"/>
  <c r="I156" i="10"/>
  <c r="F131" i="10"/>
  <c r="H115" i="10"/>
  <c r="U194" i="10"/>
  <c r="V194" i="10"/>
  <c r="AB194" i="10"/>
  <c r="AB189" i="10"/>
  <c r="V189" i="10"/>
  <c r="X189" i="10"/>
  <c r="U177" i="10"/>
  <c r="AA177" i="10"/>
  <c r="E184" i="10"/>
  <c r="H172" i="10"/>
  <c r="E172" i="10"/>
  <c r="I170" i="10"/>
  <c r="L163" i="10"/>
  <c r="P153" i="10"/>
  <c r="E192" i="10"/>
  <c r="F191" i="10"/>
  <c r="H191" i="10"/>
  <c r="E169" i="10"/>
  <c r="K169" i="10"/>
  <c r="H163" i="10"/>
  <c r="N163" i="10" s="1"/>
  <c r="F133" i="10"/>
  <c r="I131" i="10"/>
  <c r="K121" i="10"/>
  <c r="E121" i="10"/>
  <c r="E115" i="10"/>
  <c r="I105" i="10"/>
  <c r="I97" i="10"/>
  <c r="Y183" i="10"/>
  <c r="AD183" i="10" s="1"/>
  <c r="AF183" i="10"/>
  <c r="L152" i="10"/>
  <c r="K152" i="10"/>
  <c r="L59" i="10"/>
  <c r="H59" i="10"/>
  <c r="Y185" i="10"/>
  <c r="AF185" i="10"/>
  <c r="Y72" i="10"/>
  <c r="AF72" i="10"/>
  <c r="I48" i="10"/>
  <c r="Y136" i="10"/>
  <c r="Y103" i="10"/>
  <c r="AD103" i="10" s="1"/>
  <c r="Y99" i="10"/>
  <c r="AD99" i="10" s="1"/>
  <c r="AF189" i="10"/>
  <c r="AA165" i="10"/>
  <c r="V157" i="10"/>
  <c r="AA154" i="10"/>
  <c r="V152" i="10"/>
  <c r="Y139" i="10"/>
  <c r="Y135" i="10"/>
  <c r="AD135" i="10" s="1"/>
  <c r="Y110" i="10"/>
  <c r="Y98" i="10"/>
  <c r="AD98" i="10" s="1"/>
  <c r="Y82" i="10"/>
  <c r="Y75" i="10"/>
  <c r="Y57" i="10"/>
  <c r="I83" i="10"/>
  <c r="N83" i="10" s="1"/>
  <c r="I36" i="10"/>
  <c r="AF190" i="10"/>
  <c r="Y188" i="10"/>
  <c r="AA183" i="10"/>
  <c r="X179" i="10"/>
  <c r="AF173" i="10"/>
  <c r="AB166" i="10"/>
  <c r="X165" i="10"/>
  <c r="AF161" i="10"/>
  <c r="X160" i="10"/>
  <c r="X154" i="10"/>
  <c r="AA149" i="10"/>
  <c r="Y141" i="10"/>
  <c r="Y134" i="10"/>
  <c r="X61" i="10"/>
  <c r="V61" i="10"/>
  <c r="U56" i="10"/>
  <c r="X53" i="10"/>
  <c r="AB26" i="10"/>
  <c r="I91" i="10"/>
  <c r="E65" i="10"/>
  <c r="I59" i="10"/>
  <c r="I45" i="10"/>
  <c r="E38" i="10"/>
  <c r="F35" i="10"/>
  <c r="AA197" i="10"/>
  <c r="AF174" i="10"/>
  <c r="Y172" i="10"/>
  <c r="U165" i="10"/>
  <c r="U160" i="10"/>
  <c r="X149" i="10"/>
  <c r="AA146" i="10"/>
  <c r="Y143" i="10"/>
  <c r="AD143" i="10" s="1"/>
  <c r="AE143" i="10" s="1"/>
  <c r="Y137" i="10"/>
  <c r="AA118" i="10"/>
  <c r="AB108" i="10"/>
  <c r="Y91" i="10"/>
  <c r="V80" i="10"/>
  <c r="U61" i="10"/>
  <c r="U53" i="10"/>
  <c r="Y50" i="10"/>
  <c r="AB46" i="10"/>
  <c r="U43" i="10"/>
  <c r="AF38" i="10"/>
  <c r="AA157" i="10"/>
  <c r="Y121" i="10"/>
  <c r="V118" i="10"/>
  <c r="Y115" i="10"/>
  <c r="Y69" i="10"/>
  <c r="AB66" i="10"/>
  <c r="Y61" i="10"/>
  <c r="Y58" i="10"/>
  <c r="AD58" i="10" s="1"/>
  <c r="Y53" i="10"/>
  <c r="Y40" i="10"/>
  <c r="V38" i="10"/>
  <c r="V127" i="10"/>
  <c r="U119" i="10"/>
  <c r="X114" i="10"/>
  <c r="Y111" i="10"/>
  <c r="AD111" i="10" s="1"/>
  <c r="AA108" i="10"/>
  <c r="Y107" i="10"/>
  <c r="U94" i="10"/>
  <c r="X85" i="10"/>
  <c r="AA76" i="10"/>
  <c r="U54" i="10"/>
  <c r="Y46" i="10"/>
  <c r="Y43" i="10"/>
  <c r="U37" i="10"/>
  <c r="U35" i="10"/>
  <c r="Y146" i="10"/>
  <c r="AA143" i="10"/>
  <c r="Y138" i="10"/>
  <c r="Y132" i="10"/>
  <c r="U127" i="10"/>
  <c r="Y124" i="10"/>
  <c r="Y119" i="10"/>
  <c r="AD119" i="10" s="1"/>
  <c r="U114" i="10"/>
  <c r="Y97" i="10"/>
  <c r="V85" i="10"/>
  <c r="AF82" i="10"/>
  <c r="Y64" i="10"/>
  <c r="Y54" i="10"/>
  <c r="Y49" i="10"/>
  <c r="X93" i="10"/>
  <c r="V66" i="10"/>
  <c r="Y56" i="10"/>
  <c r="AF53" i="10"/>
  <c r="Y48" i="10"/>
  <c r="AB42" i="10"/>
  <c r="AA34" i="10"/>
  <c r="X32" i="10"/>
  <c r="Y145" i="10"/>
  <c r="Y123" i="10"/>
  <c r="AD123" i="10" s="1"/>
  <c r="Y118" i="10"/>
  <c r="Y96" i="10"/>
  <c r="V93" i="10"/>
  <c r="Y42" i="10"/>
  <c r="X34" i="10"/>
  <c r="V32" i="10"/>
  <c r="AA26" i="10"/>
  <c r="U93" i="10"/>
  <c r="Y90" i="10"/>
  <c r="Y66" i="10"/>
  <c r="V53" i="10"/>
  <c r="AA50" i="10"/>
  <c r="AF35" i="10"/>
  <c r="V34" i="10"/>
  <c r="Y32" i="10"/>
  <c r="Y29" i="10"/>
  <c r="N196" i="10"/>
  <c r="AF146" i="10"/>
  <c r="Y144" i="10"/>
  <c r="Y142" i="10"/>
  <c r="U139" i="10"/>
  <c r="AB127" i="10"/>
  <c r="AA119" i="10"/>
  <c r="V107" i="10"/>
  <c r="Y105" i="10"/>
  <c r="Y102" i="10"/>
  <c r="AF98" i="10"/>
  <c r="AA94" i="10"/>
  <c r="Y93" i="10"/>
  <c r="Y77" i="10"/>
  <c r="Y74" i="10"/>
  <c r="AA37" i="10"/>
  <c r="X35" i="10"/>
  <c r="V131" i="10"/>
  <c r="Y127" i="10"/>
  <c r="AD127" i="10" s="1"/>
  <c r="U123" i="10"/>
  <c r="U122" i="10"/>
  <c r="X118" i="10"/>
  <c r="AA114" i="10"/>
  <c r="X106" i="10"/>
  <c r="AB101" i="10"/>
  <c r="X95" i="10"/>
  <c r="AF91" i="10"/>
  <c r="Y68" i="10"/>
  <c r="X66" i="10"/>
  <c r="X64" i="10"/>
  <c r="AB57" i="10"/>
  <c r="V51" i="10"/>
  <c r="V45" i="10"/>
  <c r="X37" i="10"/>
  <c r="Y34" i="10"/>
  <c r="AF138" i="10"/>
  <c r="AA115" i="10"/>
  <c r="AB74" i="10"/>
  <c r="X144" i="10"/>
  <c r="AF122" i="10"/>
  <c r="X115" i="10"/>
  <c r="AB100" i="10"/>
  <c r="X74" i="10"/>
  <c r="X69" i="10"/>
  <c r="X48" i="10"/>
  <c r="AF145" i="10"/>
  <c r="V144" i="10"/>
  <c r="X138" i="10"/>
  <c r="AB130" i="10"/>
  <c r="AB123" i="10"/>
  <c r="AB122" i="10"/>
  <c r="V115" i="10"/>
  <c r="AA90" i="10"/>
  <c r="V74" i="10"/>
  <c r="V69" i="10"/>
  <c r="V58" i="10"/>
  <c r="V48" i="10"/>
  <c r="AB145" i="10"/>
  <c r="U144" i="10"/>
  <c r="X139" i="10"/>
  <c r="V138" i="10"/>
  <c r="AF135" i="10"/>
  <c r="AB131" i="10"/>
  <c r="AA130" i="10"/>
  <c r="AA123" i="10"/>
  <c r="AA122" i="10"/>
  <c r="Y117" i="10"/>
  <c r="U115" i="10"/>
  <c r="X105" i="10"/>
  <c r="AB95" i="10"/>
  <c r="U74" i="10"/>
  <c r="U69" i="10"/>
  <c r="AB62" i="10"/>
  <c r="U58" i="10"/>
  <c r="V56" i="10"/>
  <c r="V50" i="10"/>
  <c r="U48" i="10"/>
  <c r="X43" i="10"/>
  <c r="U138" i="10"/>
  <c r="AA131" i="10"/>
  <c r="AF106" i="10"/>
  <c r="V105" i="10"/>
  <c r="AF81" i="10"/>
  <c r="V75" i="10"/>
  <c r="U50" i="10"/>
  <c r="AA45" i="10"/>
  <c r="V43" i="10"/>
  <c r="AB31" i="10"/>
  <c r="V142" i="10"/>
  <c r="V141" i="10"/>
  <c r="AA137" i="10"/>
  <c r="U136" i="10"/>
  <c r="U135" i="10"/>
  <c r="AB133" i="10"/>
  <c r="U129" i="10"/>
  <c r="AF121" i="10"/>
  <c r="AA117" i="10"/>
  <c r="Y113" i="10"/>
  <c r="V111" i="10"/>
  <c r="V110" i="10"/>
  <c r="V109" i="10"/>
  <c r="AA104" i="10"/>
  <c r="U102" i="10"/>
  <c r="U99" i="10"/>
  <c r="V98" i="10"/>
  <c r="X92" i="10"/>
  <c r="X84" i="10"/>
  <c r="U82" i="10"/>
  <c r="V79" i="10"/>
  <c r="U77" i="10"/>
  <c r="X71" i="10"/>
  <c r="V40" i="10"/>
  <c r="U142" i="10"/>
  <c r="U141" i="10"/>
  <c r="U137" i="10"/>
  <c r="X113" i="10"/>
  <c r="U111" i="10"/>
  <c r="U110" i="10"/>
  <c r="U98" i="10"/>
  <c r="Y55" i="10"/>
  <c r="AB90" i="10"/>
  <c r="Y47" i="10"/>
  <c r="AD47" i="10" s="1"/>
  <c r="X45" i="10"/>
  <c r="AF43" i="10"/>
  <c r="AA42" i="10"/>
  <c r="AB82" i="10"/>
  <c r="AF58" i="10"/>
  <c r="AA29" i="10"/>
  <c r="AF141" i="10"/>
  <c r="AF136" i="10"/>
  <c r="AB135" i="10"/>
  <c r="X131" i="10"/>
  <c r="AF116" i="10"/>
  <c r="AF110" i="10"/>
  <c r="AB109" i="10"/>
  <c r="AA101" i="10"/>
  <c r="AB98" i="10"/>
  <c r="AA97" i="10"/>
  <c r="AB91" i="10"/>
  <c r="AB83" i="10"/>
  <c r="AA82" i="10"/>
  <c r="AB81" i="10"/>
  <c r="AF74" i="10"/>
  <c r="AF66" i="10"/>
  <c r="V64" i="10"/>
  <c r="AB58" i="10"/>
  <c r="AF50" i="10"/>
  <c r="U46" i="10"/>
  <c r="U45" i="10"/>
  <c r="X42" i="10"/>
  <c r="U34" i="10"/>
  <c r="AF27" i="10"/>
  <c r="Y26" i="10"/>
  <c r="X146" i="10"/>
  <c r="AA141" i="10"/>
  <c r="AA135" i="10"/>
  <c r="AA110" i="10"/>
  <c r="AA109" i="10"/>
  <c r="AF102" i="10"/>
  <c r="Y101" i="10"/>
  <c r="AA98" i="10"/>
  <c r="AF93" i="10"/>
  <c r="AB92" i="10"/>
  <c r="X91" i="10"/>
  <c r="X90" i="10"/>
  <c r="AB84" i="10"/>
  <c r="X83" i="10"/>
  <c r="AA81" i="10"/>
  <c r="AF79" i="10"/>
  <c r="AA77" i="10"/>
  <c r="AB73" i="10"/>
  <c r="AF65" i="10"/>
  <c r="AA58" i="10"/>
  <c r="AB49" i="10"/>
  <c r="V42" i="10"/>
  <c r="AF37" i="10"/>
  <c r="U32" i="10"/>
  <c r="AF30" i="10"/>
  <c r="X29" i="10"/>
  <c r="X27" i="10"/>
  <c r="X26" i="10"/>
  <c r="V146" i="10"/>
  <c r="AF142" i="10"/>
  <c r="AB138" i="10"/>
  <c r="AF137" i="10"/>
  <c r="X136" i="10"/>
  <c r="AB120" i="10"/>
  <c r="Y109" i="10"/>
  <c r="X102" i="10"/>
  <c r="X101" i="10"/>
  <c r="AB99" i="10"/>
  <c r="AA93" i="10"/>
  <c r="V90" i="10"/>
  <c r="AA85" i="10"/>
  <c r="V83" i="10"/>
  <c r="X82" i="10"/>
  <c r="X77" i="10"/>
  <c r="AB75" i="10"/>
  <c r="AA73" i="10"/>
  <c r="AB71" i="10"/>
  <c r="AF69" i="10"/>
  <c r="AA65" i="10"/>
  <c r="AF61" i="10"/>
  <c r="AA55" i="10"/>
  <c r="U49" i="10"/>
  <c r="V30" i="10"/>
  <c r="V29" i="10"/>
  <c r="V27" i="10"/>
  <c r="N160" i="10"/>
  <c r="X141" i="10"/>
  <c r="V136" i="10"/>
  <c r="V135" i="10"/>
  <c r="AB117" i="10"/>
  <c r="AB114" i="10"/>
  <c r="AB113" i="10"/>
  <c r="AF111" i="10"/>
  <c r="X110" i="10"/>
  <c r="X109" i="10"/>
  <c r="AB105" i="10"/>
  <c r="AB104" i="10"/>
  <c r="V102" i="10"/>
  <c r="V101" i="10"/>
  <c r="AB94" i="10"/>
  <c r="Y92" i="10"/>
  <c r="Y85" i="10"/>
  <c r="Y84" i="10"/>
  <c r="U83" i="10"/>
  <c r="V77" i="10"/>
  <c r="X75" i="10"/>
  <c r="AA71" i="10"/>
  <c r="AA69" i="10"/>
  <c r="AA61" i="10"/>
  <c r="X55" i="10"/>
  <c r="AA53" i="10"/>
  <c r="AA47" i="10"/>
  <c r="X40" i="10"/>
  <c r="U30" i="10"/>
  <c r="U29" i="10"/>
  <c r="U27" i="10"/>
  <c r="I136" i="10"/>
  <c r="N136" i="10" s="1"/>
  <c r="H132" i="10"/>
  <c r="E127" i="10"/>
  <c r="H116" i="10"/>
  <c r="K111" i="10"/>
  <c r="K108" i="10"/>
  <c r="I104" i="10"/>
  <c r="K100" i="10"/>
  <c r="I93" i="10"/>
  <c r="H82" i="10"/>
  <c r="I61" i="10"/>
  <c r="P37" i="10"/>
  <c r="I35" i="10"/>
  <c r="I29" i="10"/>
  <c r="P133" i="10"/>
  <c r="H108" i="10"/>
  <c r="H93" i="10"/>
  <c r="I58" i="10"/>
  <c r="L55" i="10"/>
  <c r="H29" i="10"/>
  <c r="I26" i="10"/>
  <c r="F138" i="10"/>
  <c r="E140" i="10"/>
  <c r="K133" i="10"/>
  <c r="I121" i="10"/>
  <c r="F108" i="10"/>
  <c r="K106" i="10"/>
  <c r="F93" i="10"/>
  <c r="I84" i="10"/>
  <c r="H72" i="10"/>
  <c r="H66" i="10"/>
  <c r="K63" i="10"/>
  <c r="I60" i="10"/>
  <c r="H55" i="10"/>
  <c r="L40" i="10"/>
  <c r="L34" i="10"/>
  <c r="H123" i="10"/>
  <c r="H113" i="10"/>
  <c r="E110" i="10"/>
  <c r="I108" i="10"/>
  <c r="H106" i="10"/>
  <c r="I99" i="10"/>
  <c r="I78" i="10"/>
  <c r="N78" i="10" s="1"/>
  <c r="I72" i="10"/>
  <c r="I69" i="10"/>
  <c r="I66" i="10"/>
  <c r="I57" i="10"/>
  <c r="E55" i="10"/>
  <c r="F46" i="10"/>
  <c r="H40" i="10"/>
  <c r="L38" i="10"/>
  <c r="H34" i="10"/>
  <c r="P137" i="10"/>
  <c r="F123" i="10"/>
  <c r="I113" i="10"/>
  <c r="I106" i="10"/>
  <c r="I55" i="10"/>
  <c r="H42" i="10"/>
  <c r="F40" i="10"/>
  <c r="F38" i="10"/>
  <c r="E30" i="10"/>
  <c r="H134" i="10"/>
  <c r="H133" i="10"/>
  <c r="E132" i="10"/>
  <c r="H125" i="10"/>
  <c r="P123" i="10"/>
  <c r="L121" i="10"/>
  <c r="K116" i="10"/>
  <c r="F115" i="10"/>
  <c r="F113" i="10"/>
  <c r="L108" i="10"/>
  <c r="H107" i="10"/>
  <c r="L72" i="10"/>
  <c r="K66" i="10"/>
  <c r="K60" i="10"/>
  <c r="F59" i="10"/>
  <c r="P55" i="10"/>
  <c r="I54" i="10"/>
  <c r="F44" i="10"/>
  <c r="I34" i="10"/>
  <c r="I32" i="10"/>
  <c r="P27" i="10"/>
  <c r="L137" i="10"/>
  <c r="L76" i="10"/>
  <c r="F72" i="10"/>
  <c r="F66" i="10"/>
  <c r="K61" i="10"/>
  <c r="H60" i="10"/>
  <c r="F48" i="10"/>
  <c r="K37" i="10"/>
  <c r="P35" i="10"/>
  <c r="F34" i="10"/>
  <c r="E141" i="10"/>
  <c r="K137" i="10"/>
  <c r="L104" i="10"/>
  <c r="I96" i="10"/>
  <c r="F88" i="10"/>
  <c r="P80" i="10"/>
  <c r="K76" i="10"/>
  <c r="E72" i="10"/>
  <c r="L67" i="10"/>
  <c r="E66" i="10"/>
  <c r="H61" i="10"/>
  <c r="F60" i="10"/>
  <c r="E48" i="10"/>
  <c r="E34" i="10"/>
  <c r="L31" i="10"/>
  <c r="F137" i="10"/>
  <c r="F135" i="10"/>
  <c r="K124" i="10"/>
  <c r="K109" i="10"/>
  <c r="K104" i="10"/>
  <c r="E93" i="10"/>
  <c r="E90" i="10"/>
  <c r="H76" i="10"/>
  <c r="H69" i="10"/>
  <c r="K67" i="10"/>
  <c r="I63" i="10"/>
  <c r="N63" i="10" s="1"/>
  <c r="F61" i="10"/>
  <c r="K58" i="10"/>
  <c r="I50" i="10"/>
  <c r="H45" i="10"/>
  <c r="H37" i="10"/>
  <c r="L26" i="10"/>
  <c r="E137" i="10"/>
  <c r="L132" i="10"/>
  <c r="H124" i="10"/>
  <c r="E122" i="10"/>
  <c r="F109" i="10"/>
  <c r="E104" i="10"/>
  <c r="P97" i="10"/>
  <c r="F76" i="10"/>
  <c r="F69" i="10"/>
  <c r="E67" i="10"/>
  <c r="E61" i="10"/>
  <c r="H58" i="10"/>
  <c r="F45" i="10"/>
  <c r="E37" i="10"/>
  <c r="K26" i="10"/>
  <c r="N172" i="10"/>
  <c r="I132" i="10"/>
  <c r="L125" i="10"/>
  <c r="L113" i="10"/>
  <c r="H77" i="10"/>
  <c r="K59" i="10"/>
  <c r="F58" i="10"/>
  <c r="K87" i="10"/>
  <c r="E58" i="10"/>
  <c r="H26" i="10"/>
  <c r="E123" i="10"/>
  <c r="P104" i="10"/>
  <c r="L98" i="10"/>
  <c r="E96" i="10"/>
  <c r="I95" i="10"/>
  <c r="E87" i="10"/>
  <c r="L84" i="10"/>
  <c r="E82" i="10"/>
  <c r="L80" i="10"/>
  <c r="P74" i="10"/>
  <c r="E69" i="10"/>
  <c r="E63" i="10"/>
  <c r="L56" i="10"/>
  <c r="K50" i="10"/>
  <c r="H49" i="10"/>
  <c r="E46" i="10"/>
  <c r="E45" i="10"/>
  <c r="E42" i="10"/>
  <c r="P121" i="10"/>
  <c r="P103" i="10"/>
  <c r="K98" i="10"/>
  <c r="L97" i="10"/>
  <c r="K85" i="10"/>
  <c r="K84" i="10"/>
  <c r="L74" i="10"/>
  <c r="K73" i="10"/>
  <c r="K51" i="10"/>
  <c r="L32" i="10"/>
  <c r="K27" i="10"/>
  <c r="K141" i="10"/>
  <c r="I98" i="10"/>
  <c r="K97" i="10"/>
  <c r="L89" i="10"/>
  <c r="I85" i="10"/>
  <c r="H80" i="10"/>
  <c r="K74" i="10"/>
  <c r="H56" i="10"/>
  <c r="H51" i="10"/>
  <c r="H50" i="10"/>
  <c r="N192" i="10"/>
  <c r="P105" i="10"/>
  <c r="L103" i="10"/>
  <c r="I141" i="10"/>
  <c r="L123" i="10"/>
  <c r="K122" i="10"/>
  <c r="I120" i="10"/>
  <c r="K103" i="10"/>
  <c r="L101" i="10"/>
  <c r="L99" i="10"/>
  <c r="H98" i="10"/>
  <c r="L90" i="10"/>
  <c r="K89" i="10"/>
  <c r="H85" i="10"/>
  <c r="H84" i="10"/>
  <c r="P82" i="10"/>
  <c r="F80" i="10"/>
  <c r="L78" i="10"/>
  <c r="H74" i="10"/>
  <c r="H73" i="10"/>
  <c r="K68" i="10"/>
  <c r="P62" i="10"/>
  <c r="F56" i="10"/>
  <c r="F51" i="10"/>
  <c r="F50" i="10"/>
  <c r="P48" i="10"/>
  <c r="K47" i="10"/>
  <c r="P45" i="10"/>
  <c r="L44" i="10"/>
  <c r="K41" i="10"/>
  <c r="H32" i="10"/>
  <c r="F27" i="10"/>
  <c r="N180" i="10"/>
  <c r="P131" i="10"/>
  <c r="I122" i="10"/>
  <c r="N122" i="10" s="1"/>
  <c r="H121" i="10"/>
  <c r="P106" i="10"/>
  <c r="F105" i="10"/>
  <c r="H104" i="10"/>
  <c r="F98" i="10"/>
  <c r="H97" i="10"/>
  <c r="L95" i="10"/>
  <c r="K92" i="10"/>
  <c r="K90" i="10"/>
  <c r="H89" i="10"/>
  <c r="I86" i="10"/>
  <c r="N86" i="10" s="1"/>
  <c r="F85" i="10"/>
  <c r="F84" i="10"/>
  <c r="L82" i="10"/>
  <c r="E80" i="10"/>
  <c r="F78" i="10"/>
  <c r="F74" i="10"/>
  <c r="E73" i="10"/>
  <c r="P69" i="10"/>
  <c r="L65" i="10"/>
  <c r="P59" i="10"/>
  <c r="P58" i="10"/>
  <c r="K57" i="10"/>
  <c r="E56" i="10"/>
  <c r="E51" i="10"/>
  <c r="E50" i="10"/>
  <c r="L48" i="10"/>
  <c r="E47" i="10"/>
  <c r="L42" i="10"/>
  <c r="H41" i="10"/>
  <c r="P33" i="10"/>
  <c r="F32" i="10"/>
  <c r="P30" i="10"/>
  <c r="E27" i="10"/>
  <c r="H141" i="10"/>
  <c r="L139" i="10"/>
  <c r="L130" i="10"/>
  <c r="L119" i="10"/>
  <c r="H139" i="10"/>
  <c r="P136" i="10"/>
  <c r="K130" i="10"/>
  <c r="K126" i="10"/>
  <c r="F121" i="10"/>
  <c r="K119" i="10"/>
  <c r="P115" i="10"/>
  <c r="K110" i="10"/>
  <c r="P108" i="10"/>
  <c r="F103" i="10"/>
  <c r="K95" i="10"/>
  <c r="K93" i="10"/>
  <c r="E89" i="10"/>
  <c r="F86" i="10"/>
  <c r="E85" i="10"/>
  <c r="E78" i="10"/>
  <c r="H65" i="10"/>
  <c r="L63" i="10"/>
  <c r="H48" i="10"/>
  <c r="I44" i="10"/>
  <c r="E33" i="10"/>
  <c r="E32" i="10"/>
  <c r="F30" i="10"/>
  <c r="U125" i="10"/>
  <c r="V125" i="10"/>
  <c r="X125" i="10"/>
  <c r="Y129" i="10"/>
  <c r="Y128" i="10"/>
  <c r="AA128" i="10"/>
  <c r="AB128" i="10"/>
  <c r="AB126" i="10"/>
  <c r="U126" i="10"/>
  <c r="V126" i="10"/>
  <c r="U112" i="10"/>
  <c r="V112" i="10"/>
  <c r="X112" i="10"/>
  <c r="Y112" i="10"/>
  <c r="AA112" i="10"/>
  <c r="Y140" i="10"/>
  <c r="AF133" i="10"/>
  <c r="Y133" i="10"/>
  <c r="AA132" i="10"/>
  <c r="AB132" i="10"/>
  <c r="AA129" i="10"/>
  <c r="V129" i="10"/>
  <c r="X129" i="10"/>
  <c r="V120" i="10"/>
  <c r="X120" i="10"/>
  <c r="Y120" i="10"/>
  <c r="AA120" i="10"/>
  <c r="AF119" i="10"/>
  <c r="U133" i="10"/>
  <c r="X133" i="10"/>
  <c r="AA133" i="10"/>
  <c r="V130" i="10"/>
  <c r="U130" i="10"/>
  <c r="X130" i="10"/>
  <c r="U140" i="10"/>
  <c r="V140" i="10"/>
  <c r="X140" i="10"/>
  <c r="AA139" i="10"/>
  <c r="AB139" i="10"/>
  <c r="AF132" i="10"/>
  <c r="AB125" i="10"/>
  <c r="AA121" i="10"/>
  <c r="U121" i="10"/>
  <c r="V121" i="10"/>
  <c r="X121" i="10"/>
  <c r="U116" i="10"/>
  <c r="V116" i="10"/>
  <c r="AB116" i="10"/>
  <c r="X116" i="10"/>
  <c r="AA116" i="10"/>
  <c r="U196" i="10"/>
  <c r="X196" i="10"/>
  <c r="V196" i="10"/>
  <c r="AB195" i="10"/>
  <c r="AA195" i="10"/>
  <c r="U188" i="10"/>
  <c r="X188" i="10"/>
  <c r="V188" i="10"/>
  <c r="AB187" i="10"/>
  <c r="AA187" i="10"/>
  <c r="U180" i="10"/>
  <c r="V180" i="10"/>
  <c r="X180" i="10"/>
  <c r="AA179" i="10"/>
  <c r="AB179" i="10"/>
  <c r="U172" i="10"/>
  <c r="V172" i="10"/>
  <c r="X172" i="10"/>
  <c r="AA171" i="10"/>
  <c r="AB171" i="10"/>
  <c r="U164" i="10"/>
  <c r="V164" i="10"/>
  <c r="X164" i="10"/>
  <c r="AA163" i="10"/>
  <c r="AB163" i="10"/>
  <c r="U156" i="10"/>
  <c r="V156" i="10"/>
  <c r="X156" i="10"/>
  <c r="AA155" i="10"/>
  <c r="AB155" i="10"/>
  <c r="U148" i="10"/>
  <c r="V148" i="10"/>
  <c r="X148" i="10"/>
  <c r="AA147" i="10"/>
  <c r="AB147" i="10"/>
  <c r="AF195" i="10"/>
  <c r="V193" i="10"/>
  <c r="X193" i="10"/>
  <c r="U191" i="10"/>
  <c r="V191" i="10"/>
  <c r="X190" i="10"/>
  <c r="AD190" i="10" s="1"/>
  <c r="AE190" i="10" s="1"/>
  <c r="AA190" i="10"/>
  <c r="AF187" i="10"/>
  <c r="V185" i="10"/>
  <c r="X185" i="10"/>
  <c r="U183" i="10"/>
  <c r="V183" i="10"/>
  <c r="X182" i="10"/>
  <c r="AA182" i="10"/>
  <c r="AF179" i="10"/>
  <c r="V177" i="10"/>
  <c r="X177" i="10"/>
  <c r="V175" i="10"/>
  <c r="U175" i="10"/>
  <c r="X174" i="10"/>
  <c r="AA174" i="10"/>
  <c r="AF171" i="10"/>
  <c r="V169" i="10"/>
  <c r="X169" i="10"/>
  <c r="U167" i="10"/>
  <c r="V167" i="10"/>
  <c r="X166" i="10"/>
  <c r="AA166" i="10"/>
  <c r="AF163" i="10"/>
  <c r="V161" i="10"/>
  <c r="X161" i="10"/>
  <c r="AD161" i="10" s="1"/>
  <c r="U159" i="10"/>
  <c r="V159" i="10"/>
  <c r="X158" i="10"/>
  <c r="AA158" i="10"/>
  <c r="AF155" i="10"/>
  <c r="V153" i="10"/>
  <c r="X153" i="10"/>
  <c r="U151" i="10"/>
  <c r="V151" i="10"/>
  <c r="X150" i="10"/>
  <c r="AA150" i="10"/>
  <c r="AF147" i="10"/>
  <c r="V145" i="10"/>
  <c r="X145" i="10"/>
  <c r="U143" i="10"/>
  <c r="V143" i="10"/>
  <c r="X142" i="10"/>
  <c r="AA142" i="10"/>
  <c r="AF139" i="10"/>
  <c r="V137" i="10"/>
  <c r="X137" i="10"/>
  <c r="AB134" i="10"/>
  <c r="U134" i="10"/>
  <c r="V134" i="10"/>
  <c r="X134" i="10"/>
  <c r="X128" i="10"/>
  <c r="AA126" i="10"/>
  <c r="AA125" i="10"/>
  <c r="V124" i="10"/>
  <c r="X124" i="10"/>
  <c r="AA124" i="10"/>
  <c r="AB124" i="10"/>
  <c r="AF115" i="10"/>
  <c r="V128" i="10"/>
  <c r="Y126" i="10"/>
  <c r="AD126" i="10" s="1"/>
  <c r="AF123" i="10"/>
  <c r="AB112" i="10"/>
  <c r="AF103" i="10"/>
  <c r="X78" i="10"/>
  <c r="AA78" i="10"/>
  <c r="U78" i="10"/>
  <c r="X70" i="10"/>
  <c r="V70" i="10"/>
  <c r="AA70" i="10"/>
  <c r="AB70" i="10"/>
  <c r="Y100" i="10"/>
  <c r="AA87" i="10"/>
  <c r="AB86" i="10"/>
  <c r="AF77" i="10"/>
  <c r="Y104" i="10"/>
  <c r="AB89" i="10"/>
  <c r="X88" i="10"/>
  <c r="Y87" i="10"/>
  <c r="AA86" i="10"/>
  <c r="U79" i="10"/>
  <c r="X79" i="10"/>
  <c r="AA79" i="10"/>
  <c r="AF76" i="10"/>
  <c r="Y76" i="10"/>
  <c r="AD76" i="10" s="1"/>
  <c r="U68" i="10"/>
  <c r="V68" i="10"/>
  <c r="AA68" i="10"/>
  <c r="AB68" i="10"/>
  <c r="X68" i="10"/>
  <c r="Y125" i="10"/>
  <c r="X117" i="10"/>
  <c r="V113" i="10"/>
  <c r="X108" i="10"/>
  <c r="X104" i="10"/>
  <c r="AB103" i="10"/>
  <c r="U100" i="10"/>
  <c r="V100" i="10"/>
  <c r="X100" i="10"/>
  <c r="AA99" i="10"/>
  <c r="V99" i="10"/>
  <c r="Y94" i="10"/>
  <c r="AF94" i="10"/>
  <c r="Y89" i="10"/>
  <c r="V88" i="10"/>
  <c r="X87" i="10"/>
  <c r="V86" i="10"/>
  <c r="U76" i="10"/>
  <c r="V76" i="10"/>
  <c r="AB76" i="10"/>
  <c r="Y62" i="10"/>
  <c r="AD62" i="10" s="1"/>
  <c r="AF62" i="10"/>
  <c r="AB192" i="10"/>
  <c r="AB184" i="10"/>
  <c r="AB176" i="10"/>
  <c r="AB168" i="10"/>
  <c r="AB152" i="10"/>
  <c r="V117" i="10"/>
  <c r="U113" i="10"/>
  <c r="AB111" i="10"/>
  <c r="V108" i="10"/>
  <c r="V104" i="10"/>
  <c r="AA103" i="10"/>
  <c r="AF99" i="10"/>
  <c r="V97" i="10"/>
  <c r="X97" i="10"/>
  <c r="AB97" i="10"/>
  <c r="AA96" i="10"/>
  <c r="AB96" i="10"/>
  <c r="U86" i="10"/>
  <c r="AA72" i="10"/>
  <c r="AB72" i="10"/>
  <c r="U72" i="10"/>
  <c r="V72" i="10"/>
  <c r="X72" i="10"/>
  <c r="AB160" i="10"/>
  <c r="AB144" i="10"/>
  <c r="AB136" i="10"/>
  <c r="AB119" i="10"/>
  <c r="AA111" i="10"/>
  <c r="AB106" i="10"/>
  <c r="AA102" i="10"/>
  <c r="U92" i="10"/>
  <c r="V92" i="10"/>
  <c r="AA91" i="10"/>
  <c r="U91" i="10"/>
  <c r="Y88" i="10"/>
  <c r="Y86" i="10"/>
  <c r="AD86" i="10" s="1"/>
  <c r="V81" i="10"/>
  <c r="X81" i="10"/>
  <c r="AB78" i="10"/>
  <c r="Y67" i="10"/>
  <c r="AD67" i="10" s="1"/>
  <c r="AF67" i="10"/>
  <c r="Y108" i="10"/>
  <c r="V103" i="10"/>
  <c r="V89" i="10"/>
  <c r="X89" i="10"/>
  <c r="AA89" i="10"/>
  <c r="AA88" i="10"/>
  <c r="AB88" i="10"/>
  <c r="U87" i="10"/>
  <c r="AB87" i="10"/>
  <c r="V78" i="10"/>
  <c r="U70" i="10"/>
  <c r="U103" i="10"/>
  <c r="Y78" i="10"/>
  <c r="U63" i="10"/>
  <c r="V63" i="10"/>
  <c r="X63" i="10"/>
  <c r="Y63" i="10"/>
  <c r="AA63" i="10"/>
  <c r="AA80" i="10"/>
  <c r="AB80" i="10"/>
  <c r="Y70" i="10"/>
  <c r="V67" i="10"/>
  <c r="AB65" i="10"/>
  <c r="U59" i="10"/>
  <c r="Y52" i="10"/>
  <c r="Y44" i="10"/>
  <c r="Y41" i="10"/>
  <c r="U60" i="10"/>
  <c r="V60" i="10"/>
  <c r="Y51" i="10"/>
  <c r="V41" i="10"/>
  <c r="X41" i="10"/>
  <c r="AA41" i="10"/>
  <c r="U36" i="10"/>
  <c r="V36" i="10"/>
  <c r="X36" i="10"/>
  <c r="AA36" i="10"/>
  <c r="AF59" i="10"/>
  <c r="U52" i="10"/>
  <c r="V52" i="10"/>
  <c r="X52" i="10"/>
  <c r="AA51" i="10"/>
  <c r="AB51" i="10"/>
  <c r="U44" i="10"/>
  <c r="V44" i="10"/>
  <c r="X44" i="10"/>
  <c r="U28" i="10"/>
  <c r="V28" i="10"/>
  <c r="X28" i="10"/>
  <c r="AA28" i="10"/>
  <c r="Y73" i="10"/>
  <c r="V57" i="10"/>
  <c r="X57" i="10"/>
  <c r="U55" i="10"/>
  <c r="V55" i="10"/>
  <c r="X54" i="10"/>
  <c r="AA54" i="10"/>
  <c r="AF51" i="10"/>
  <c r="V49" i="10"/>
  <c r="X49" i="10"/>
  <c r="U47" i="10"/>
  <c r="V47" i="10"/>
  <c r="X46" i="10"/>
  <c r="AA46" i="10"/>
  <c r="Y33" i="10"/>
  <c r="AF33" i="10"/>
  <c r="U84" i="10"/>
  <c r="V84" i="10"/>
  <c r="Y83" i="10"/>
  <c r="X80" i="10"/>
  <c r="AF75" i="10"/>
  <c r="Y71" i="10"/>
  <c r="AA62" i="10"/>
  <c r="AB60" i="10"/>
  <c r="AF57" i="10"/>
  <c r="AF56" i="10"/>
  <c r="AF54" i="10"/>
  <c r="AF49" i="10"/>
  <c r="AF48" i="10"/>
  <c r="AF46" i="10"/>
  <c r="V33" i="10"/>
  <c r="X33" i="10"/>
  <c r="AA33" i="10"/>
  <c r="AB33" i="10"/>
  <c r="U33" i="10"/>
  <c r="V65" i="10"/>
  <c r="X65" i="10"/>
  <c r="AA60" i="10"/>
  <c r="AB59" i="10"/>
  <c r="U80" i="10"/>
  <c r="V73" i="10"/>
  <c r="X73" i="10"/>
  <c r="V71" i="10"/>
  <c r="AB67" i="10"/>
  <c r="AA64" i="10"/>
  <c r="AB64" i="10"/>
  <c r="U62" i="10"/>
  <c r="Y60" i="10"/>
  <c r="AD60" i="10" s="1"/>
  <c r="X59" i="10"/>
  <c r="AB55" i="10"/>
  <c r="AB52" i="10"/>
  <c r="X51" i="10"/>
  <c r="AB47" i="10"/>
  <c r="AB44" i="10"/>
  <c r="AB41" i="10"/>
  <c r="U39" i="10"/>
  <c r="V39" i="10"/>
  <c r="X39" i="10"/>
  <c r="Y39" i="10"/>
  <c r="Y31" i="10"/>
  <c r="AB38" i="10"/>
  <c r="Y36" i="10"/>
  <c r="X31" i="10"/>
  <c r="AB30" i="10"/>
  <c r="Y28" i="10"/>
  <c r="V26" i="10"/>
  <c r="AB43" i="10"/>
  <c r="AA38" i="10"/>
  <c r="AB35" i="10"/>
  <c r="V31" i="10"/>
  <c r="AA30" i="10"/>
  <c r="AB27" i="10"/>
  <c r="AB56" i="10"/>
  <c r="AB48" i="10"/>
  <c r="AB40" i="10"/>
  <c r="AB32" i="10"/>
  <c r="I193" i="10"/>
  <c r="P193" i="10"/>
  <c r="K174" i="10"/>
  <c r="F174" i="10"/>
  <c r="F164" i="10"/>
  <c r="L164" i="10"/>
  <c r="P195" i="10"/>
  <c r="E194" i="10"/>
  <c r="L194" i="10"/>
  <c r="K194" i="10"/>
  <c r="H186" i="10"/>
  <c r="H185" i="10"/>
  <c r="I177" i="10"/>
  <c r="P177" i="10"/>
  <c r="L159" i="10"/>
  <c r="F114" i="10"/>
  <c r="K114" i="10"/>
  <c r="E114" i="10"/>
  <c r="H114" i="10"/>
  <c r="I114" i="10"/>
  <c r="E197" i="10"/>
  <c r="F196" i="10"/>
  <c r="I194" i="10"/>
  <c r="K193" i="10"/>
  <c r="E187" i="10"/>
  <c r="F185" i="10"/>
  <c r="I183" i="10"/>
  <c r="N183" i="10" s="1"/>
  <c r="L179" i="10"/>
  <c r="H179" i="10"/>
  <c r="E178" i="10"/>
  <c r="L178" i="10"/>
  <c r="N176" i="10"/>
  <c r="H174" i="10"/>
  <c r="N174" i="10" s="1"/>
  <c r="H173" i="10"/>
  <c r="K172" i="10"/>
  <c r="K166" i="10"/>
  <c r="E166" i="10"/>
  <c r="H164" i="10"/>
  <c r="N164" i="10" s="1"/>
  <c r="K161" i="10"/>
  <c r="L158" i="10"/>
  <c r="K155" i="10"/>
  <c r="E155" i="10"/>
  <c r="E148" i="10"/>
  <c r="F144" i="10"/>
  <c r="H142" i="10"/>
  <c r="K138" i="10"/>
  <c r="L135" i="10"/>
  <c r="I129" i="10"/>
  <c r="F128" i="10"/>
  <c r="E128" i="10"/>
  <c r="H128" i="10"/>
  <c r="K128" i="10"/>
  <c r="F126" i="10"/>
  <c r="L118" i="10"/>
  <c r="K118" i="10"/>
  <c r="H118" i="10"/>
  <c r="I118" i="10"/>
  <c r="P113" i="10"/>
  <c r="K147" i="10"/>
  <c r="L147" i="10"/>
  <c r="E159" i="10"/>
  <c r="F159" i="10"/>
  <c r="P135" i="10"/>
  <c r="I135" i="10"/>
  <c r="F197" i="10"/>
  <c r="K195" i="10"/>
  <c r="L193" i="10"/>
  <c r="K190" i="10"/>
  <c r="F190" i="10"/>
  <c r="K162" i="10"/>
  <c r="L161" i="10"/>
  <c r="H148" i="10"/>
  <c r="N148" i="10" s="1"/>
  <c r="H147" i="10"/>
  <c r="L145" i="10"/>
  <c r="I143" i="10"/>
  <c r="N143" i="10" s="1"/>
  <c r="K142" i="10"/>
  <c r="K198" i="10"/>
  <c r="F198" i="10"/>
  <c r="E196" i="10"/>
  <c r="F195" i="10"/>
  <c r="H194" i="10"/>
  <c r="H193" i="10"/>
  <c r="I185" i="10"/>
  <c r="P185" i="10"/>
  <c r="I182" i="10"/>
  <c r="L180" i="10"/>
  <c r="E174" i="10"/>
  <c r="F173" i="10"/>
  <c r="P166" i="10"/>
  <c r="E164" i="10"/>
  <c r="H162" i="10"/>
  <c r="F161" i="10"/>
  <c r="I159" i="10"/>
  <c r="K158" i="10"/>
  <c r="H153" i="10"/>
  <c r="L153" i="10"/>
  <c r="F153" i="10"/>
  <c r="E151" i="10"/>
  <c r="L151" i="10"/>
  <c r="E147" i="10"/>
  <c r="F142" i="10"/>
  <c r="I138" i="10"/>
  <c r="N138" i="10" s="1"/>
  <c r="K135" i="10"/>
  <c r="H117" i="10"/>
  <c r="H145" i="10"/>
  <c r="N145" i="10" s="1"/>
  <c r="K145" i="10"/>
  <c r="E145" i="10"/>
  <c r="L144" i="10"/>
  <c r="H144" i="10"/>
  <c r="F194" i="10"/>
  <c r="F193" i="10"/>
  <c r="L187" i="10"/>
  <c r="H187" i="10"/>
  <c r="E186" i="10"/>
  <c r="L186" i="10"/>
  <c r="E173" i="10"/>
  <c r="F162" i="10"/>
  <c r="E161" i="10"/>
  <c r="H159" i="10"/>
  <c r="I140" i="10"/>
  <c r="H135" i="10"/>
  <c r="L120" i="10"/>
  <c r="I119" i="10"/>
  <c r="N119" i="10" s="1"/>
  <c r="P119" i="10"/>
  <c r="E112" i="10"/>
  <c r="H112" i="10"/>
  <c r="I112" i="10"/>
  <c r="K112" i="10"/>
  <c r="L112" i="10"/>
  <c r="P130" i="10"/>
  <c r="I130" i="10"/>
  <c r="K129" i="10"/>
  <c r="E129" i="10"/>
  <c r="H129" i="10"/>
  <c r="L129" i="10"/>
  <c r="L126" i="10"/>
  <c r="H126" i="10"/>
  <c r="I126" i="10"/>
  <c r="L195" i="10"/>
  <c r="H195" i="10"/>
  <c r="N195" i="10" s="1"/>
  <c r="E117" i="10"/>
  <c r="K117" i="10"/>
  <c r="L117" i="10"/>
  <c r="I111" i="10"/>
  <c r="P111" i="10"/>
  <c r="I127" i="10"/>
  <c r="P127" i="10"/>
  <c r="P192" i="10"/>
  <c r="K187" i="10"/>
  <c r="L185" i="10"/>
  <c r="I169" i="10"/>
  <c r="P169" i="10"/>
  <c r="L160" i="10"/>
  <c r="K160" i="10"/>
  <c r="F140" i="10"/>
  <c r="L140" i="10"/>
  <c r="H140" i="10"/>
  <c r="E138" i="10"/>
  <c r="L138" i="10"/>
  <c r="E120" i="10"/>
  <c r="F120" i="10"/>
  <c r="H120" i="10"/>
  <c r="K120" i="10"/>
  <c r="L114" i="10"/>
  <c r="L196" i="10"/>
  <c r="E190" i="10"/>
  <c r="K186" i="10"/>
  <c r="K182" i="10"/>
  <c r="F182" i="10"/>
  <c r="E180" i="10"/>
  <c r="P161" i="10"/>
  <c r="L148" i="10"/>
  <c r="I124" i="10"/>
  <c r="P124" i="10"/>
  <c r="H198" i="10"/>
  <c r="N198" i="10" s="1"/>
  <c r="H197" i="10"/>
  <c r="N197" i="10" s="1"/>
  <c r="K196" i="10"/>
  <c r="E189" i="10"/>
  <c r="F188" i="10"/>
  <c r="I186" i="10"/>
  <c r="K185" i="10"/>
  <c r="E179" i="10"/>
  <c r="F178" i="10"/>
  <c r="F177" i="10"/>
  <c r="L174" i="10"/>
  <c r="L173" i="10"/>
  <c r="L171" i="10"/>
  <c r="H171" i="10"/>
  <c r="N171" i="10" s="1"/>
  <c r="E170" i="10"/>
  <c r="L170" i="10"/>
  <c r="F166" i="10"/>
  <c r="K164" i="10"/>
  <c r="L162" i="10"/>
  <c r="F155" i="10"/>
  <c r="F154" i="10"/>
  <c r="H151" i="10"/>
  <c r="K148" i="10"/>
  <c r="K144" i="10"/>
  <c r="L142" i="10"/>
  <c r="P139" i="10"/>
  <c r="L136" i="10"/>
  <c r="K136" i="10"/>
  <c r="F136" i="10"/>
  <c r="I128" i="10"/>
  <c r="E118" i="10"/>
  <c r="H127" i="10"/>
  <c r="K127" i="10"/>
  <c r="F124" i="10"/>
  <c r="F116" i="10"/>
  <c r="F110" i="10"/>
  <c r="I107" i="10"/>
  <c r="I90" i="10"/>
  <c r="N90" i="10" s="1"/>
  <c r="P90" i="10"/>
  <c r="H94" i="10"/>
  <c r="F94" i="10"/>
  <c r="K94" i="10"/>
  <c r="I41" i="10"/>
  <c r="P41" i="10"/>
  <c r="E130" i="10"/>
  <c r="H111" i="10"/>
  <c r="F111" i="10"/>
  <c r="I110" i="10"/>
  <c r="K102" i="10"/>
  <c r="I101" i="10"/>
  <c r="P100" i="10"/>
  <c r="I100" i="10"/>
  <c r="K99" i="10"/>
  <c r="H99" i="10"/>
  <c r="F91" i="10"/>
  <c r="H91" i="10"/>
  <c r="K91" i="10"/>
  <c r="E109" i="10"/>
  <c r="L109" i="10"/>
  <c r="I102" i="10"/>
  <c r="E100" i="10"/>
  <c r="H100" i="10"/>
  <c r="L100" i="10"/>
  <c r="K96" i="10"/>
  <c r="F96" i="10"/>
  <c r="H96" i="10"/>
  <c r="E52" i="10"/>
  <c r="H52" i="10"/>
  <c r="F52" i="10"/>
  <c r="I52" i="10"/>
  <c r="K52" i="10"/>
  <c r="L52" i="10"/>
  <c r="P99" i="10"/>
  <c r="F163" i="10"/>
  <c r="I134" i="10"/>
  <c r="K132" i="10"/>
  <c r="F127" i="10"/>
  <c r="I125" i="10"/>
  <c r="L124" i="10"/>
  <c r="F122" i="10"/>
  <c r="L122" i="10"/>
  <c r="F119" i="10"/>
  <c r="I117" i="10"/>
  <c r="E113" i="10"/>
  <c r="L111" i="10"/>
  <c r="F106" i="10"/>
  <c r="E106" i="10"/>
  <c r="K105" i="10"/>
  <c r="H105" i="10"/>
  <c r="N105" i="10" s="1"/>
  <c r="L105" i="10"/>
  <c r="E101" i="10"/>
  <c r="H101" i="10"/>
  <c r="K101" i="10"/>
  <c r="L94" i="10"/>
  <c r="I70" i="10"/>
  <c r="P70" i="10"/>
  <c r="L102" i="10"/>
  <c r="E102" i="10"/>
  <c r="H102" i="10"/>
  <c r="I94" i="10"/>
  <c r="E92" i="10"/>
  <c r="F92" i="10"/>
  <c r="L92" i="10"/>
  <c r="I92" i="10"/>
  <c r="N92" i="10" s="1"/>
  <c r="P89" i="10"/>
  <c r="I89" i="10"/>
  <c r="K64" i="10"/>
  <c r="E64" i="10"/>
  <c r="H64" i="10"/>
  <c r="L64" i="10"/>
  <c r="F64" i="10"/>
  <c r="I64" i="10"/>
  <c r="H110" i="10"/>
  <c r="I109" i="10"/>
  <c r="N109" i="10" s="1"/>
  <c r="F99" i="10"/>
  <c r="L96" i="10"/>
  <c r="E94" i="10"/>
  <c r="L91" i="10"/>
  <c r="L88" i="10"/>
  <c r="L87" i="10"/>
  <c r="K81" i="10"/>
  <c r="H70" i="10"/>
  <c r="F70" i="10"/>
  <c r="L70" i="10"/>
  <c r="I81" i="10"/>
  <c r="L79" i="10"/>
  <c r="K75" i="10"/>
  <c r="E75" i="10"/>
  <c r="H75" i="10"/>
  <c r="E39" i="10"/>
  <c r="F39" i="10"/>
  <c r="I39" i="10"/>
  <c r="H39" i="10"/>
  <c r="K39" i="10"/>
  <c r="L39" i="10"/>
  <c r="H81" i="10"/>
  <c r="K79" i="10"/>
  <c r="I71" i="10"/>
  <c r="E71" i="10"/>
  <c r="H71" i="10"/>
  <c r="P42" i="10"/>
  <c r="I42" i="10"/>
  <c r="L77" i="10"/>
  <c r="E77" i="10"/>
  <c r="K77" i="10"/>
  <c r="I116" i="10"/>
  <c r="E103" i="10"/>
  <c r="E97" i="10"/>
  <c r="H95" i="10"/>
  <c r="P91" i="10"/>
  <c r="E83" i="10"/>
  <c r="F83" i="10"/>
  <c r="K83" i="10"/>
  <c r="P72" i="10"/>
  <c r="E68" i="10"/>
  <c r="F68" i="10"/>
  <c r="I68" i="10"/>
  <c r="N68" i="10" s="1"/>
  <c r="L68" i="10"/>
  <c r="P66" i="10"/>
  <c r="P65" i="10"/>
  <c r="I51" i="10"/>
  <c r="P51" i="10"/>
  <c r="L43" i="10"/>
  <c r="E43" i="10"/>
  <c r="F43" i="10"/>
  <c r="H43" i="10"/>
  <c r="K43" i="10"/>
  <c r="K88" i="10"/>
  <c r="E88" i="10"/>
  <c r="F87" i="10"/>
  <c r="H87" i="10"/>
  <c r="F81" i="10"/>
  <c r="L81" i="10"/>
  <c r="E79" i="10"/>
  <c r="F79" i="10"/>
  <c r="I79" i="10"/>
  <c r="N79" i="10" s="1"/>
  <c r="L53" i="10"/>
  <c r="E53" i="10"/>
  <c r="F53" i="10"/>
  <c r="H53" i="10"/>
  <c r="I53" i="10"/>
  <c r="K53" i="10"/>
  <c r="P40" i="10"/>
  <c r="I40" i="10"/>
  <c r="E95" i="10"/>
  <c r="P83" i="10"/>
  <c r="P78" i="10"/>
  <c r="I76" i="10"/>
  <c r="L75" i="10"/>
  <c r="L71" i="10"/>
  <c r="E70" i="10"/>
  <c r="F67" i="10"/>
  <c r="F63" i="10"/>
  <c r="K62" i="10"/>
  <c r="L57" i="10"/>
  <c r="H54" i="10"/>
  <c r="K54" i="10"/>
  <c r="K49" i="10"/>
  <c r="L47" i="10"/>
  <c r="E44" i="10"/>
  <c r="H44" i="10"/>
  <c r="I43" i="10"/>
  <c r="L86" i="10"/>
  <c r="K78" i="10"/>
  <c r="L73" i="10"/>
  <c r="K69" i="10"/>
  <c r="I67" i="10"/>
  <c r="N67" i="10" s="1"/>
  <c r="K65" i="10"/>
  <c r="F62" i="10"/>
  <c r="L60" i="10"/>
  <c r="H57" i="10"/>
  <c r="K55" i="10"/>
  <c r="E49" i="10"/>
  <c r="I47" i="10"/>
  <c r="K45" i="10"/>
  <c r="F41" i="10"/>
  <c r="L41" i="10"/>
  <c r="P38" i="10"/>
  <c r="L36" i="10"/>
  <c r="E28" i="10"/>
  <c r="F28" i="10"/>
  <c r="H28" i="10"/>
  <c r="K28" i="10"/>
  <c r="L28" i="10"/>
  <c r="K86" i="10"/>
  <c r="I75" i="10"/>
  <c r="E62" i="10"/>
  <c r="E57" i="10"/>
  <c r="I49" i="10"/>
  <c r="H47" i="10"/>
  <c r="I46" i="10"/>
  <c r="K35" i="10"/>
  <c r="L35" i="10"/>
  <c r="P57" i="10"/>
  <c r="E36" i="10"/>
  <c r="F36" i="10"/>
  <c r="H36" i="10"/>
  <c r="K36" i="10"/>
  <c r="L62" i="10"/>
  <c r="L49" i="10"/>
  <c r="H46" i="10"/>
  <c r="K46" i="10"/>
  <c r="K31" i="10"/>
  <c r="F37" i="10"/>
  <c r="L33" i="10"/>
  <c r="I31" i="10"/>
  <c r="F29" i="10"/>
  <c r="K33" i="10"/>
  <c r="H31" i="10"/>
  <c r="L30" i="10"/>
  <c r="E29" i="10"/>
  <c r="I28" i="10"/>
  <c r="F26" i="10"/>
  <c r="K38" i="10"/>
  <c r="F31" i="10"/>
  <c r="K30" i="10"/>
  <c r="H33" i="10"/>
  <c r="N33" i="10" s="1"/>
  <c r="AD147" i="10" l="1"/>
  <c r="AD184" i="10"/>
  <c r="AD155" i="10"/>
  <c r="AE155" i="10" s="1"/>
  <c r="N150" i="10"/>
  <c r="O150" i="10" s="1"/>
  <c r="AD174" i="10"/>
  <c r="AE174" i="10" s="1"/>
  <c r="AD153" i="10"/>
  <c r="AE153" i="10" s="1"/>
  <c r="AD182" i="10"/>
  <c r="AE182" i="10" s="1"/>
  <c r="AD59" i="10"/>
  <c r="AE59" i="10" s="1"/>
  <c r="AD148" i="10"/>
  <c r="AD166" i="10"/>
  <c r="AE166" i="10" s="1"/>
  <c r="N82" i="10"/>
  <c r="O82" i="10" s="1"/>
  <c r="AE103" i="10"/>
  <c r="AD196" i="10"/>
  <c r="AE196" i="10" s="1"/>
  <c r="AE60" i="10"/>
  <c r="N55" i="10"/>
  <c r="O55" i="10" s="1"/>
  <c r="AD149" i="10"/>
  <c r="AE149" i="10" s="1"/>
  <c r="AD179" i="10"/>
  <c r="AE179" i="10" s="1"/>
  <c r="N144" i="10"/>
  <c r="O144" i="10" s="1"/>
  <c r="AD160" i="10"/>
  <c r="AE160" i="10" s="1"/>
  <c r="AD189" i="10"/>
  <c r="AE189" i="10" s="1"/>
  <c r="AD187" i="10"/>
  <c r="AE187" i="10" s="1"/>
  <c r="AD177" i="10"/>
  <c r="AE177" i="10" s="1"/>
  <c r="O181" i="10"/>
  <c r="AD124" i="10"/>
  <c r="AD137" i="10"/>
  <c r="AE137" i="10" s="1"/>
  <c r="AD94" i="10"/>
  <c r="AE94" i="10" s="1"/>
  <c r="N74" i="10"/>
  <c r="O74" i="10" s="1"/>
  <c r="AD27" i="10"/>
  <c r="AE27" i="10" s="1"/>
  <c r="AD50" i="10"/>
  <c r="AE50" i="10" s="1"/>
  <c r="N131" i="10"/>
  <c r="O131" i="10" s="1"/>
  <c r="O165" i="10"/>
  <c r="AE161" i="10"/>
  <c r="AE148" i="10"/>
  <c r="AE62" i="10"/>
  <c r="N169" i="10"/>
  <c r="O169" i="10" s="1"/>
  <c r="AD81" i="10"/>
  <c r="AE81" i="10" s="1"/>
  <c r="AD165" i="10"/>
  <c r="AE165" i="10" s="1"/>
  <c r="AD117" i="10"/>
  <c r="AE117" i="10" s="1"/>
  <c r="N123" i="10"/>
  <c r="O123" i="10" s="1"/>
  <c r="N152" i="10"/>
  <c r="O152" i="10" s="1"/>
  <c r="N66" i="10"/>
  <c r="O66" i="10" s="1"/>
  <c r="N37" i="10"/>
  <c r="O37" i="10" s="1"/>
  <c r="AD43" i="10"/>
  <c r="AE43" i="10" s="1"/>
  <c r="N40" i="10"/>
  <c r="O40" i="10" s="1"/>
  <c r="AD49" i="10"/>
  <c r="AE49" i="10" s="1"/>
  <c r="AD185" i="10"/>
  <c r="AE185" i="10" s="1"/>
  <c r="N42" i="10"/>
  <c r="O42" i="10" s="1"/>
  <c r="AD56" i="10"/>
  <c r="AE56" i="10" s="1"/>
  <c r="AD162" i="10"/>
  <c r="AE162" i="10" s="1"/>
  <c r="N73" i="10"/>
  <c r="O73" i="10" s="1"/>
  <c r="AD80" i="10"/>
  <c r="AE80" i="10" s="1"/>
  <c r="O166" i="10"/>
  <c r="N162" i="10"/>
  <c r="O162" i="10" s="1"/>
  <c r="N153" i="10"/>
  <c r="O153" i="10" s="1"/>
  <c r="N179" i="10"/>
  <c r="O179" i="10" s="1"/>
  <c r="O176" i="10"/>
  <c r="O178" i="10"/>
  <c r="AD176" i="10"/>
  <c r="AE176" i="10" s="1"/>
  <c r="AD154" i="10"/>
  <c r="AE154" i="10" s="1"/>
  <c r="AD193" i="10"/>
  <c r="AE193" i="10" s="1"/>
  <c r="AD191" i="10"/>
  <c r="AE191" i="10" s="1"/>
  <c r="O161" i="10"/>
  <c r="AE151" i="10"/>
  <c r="N59" i="10"/>
  <c r="O59" i="10" s="1"/>
  <c r="AD142" i="10"/>
  <c r="AE142" i="10" s="1"/>
  <c r="AD169" i="10"/>
  <c r="AE169" i="10" s="1"/>
  <c r="N49" i="10"/>
  <c r="O49" i="10" s="1"/>
  <c r="AD54" i="10"/>
  <c r="AE54" i="10" s="1"/>
  <c r="AD68" i="10"/>
  <c r="AE68" i="10" s="1"/>
  <c r="AD46" i="10"/>
  <c r="AE46" i="10" s="1"/>
  <c r="AD175" i="10"/>
  <c r="AE175" i="10" s="1"/>
  <c r="N189" i="10"/>
  <c r="O189" i="10" s="1"/>
  <c r="AD107" i="10"/>
  <c r="AE107" i="10" s="1"/>
  <c r="N156" i="10"/>
  <c r="O156" i="10" s="1"/>
  <c r="N142" i="10"/>
  <c r="O142" i="10" s="1"/>
  <c r="N149" i="10"/>
  <c r="O149" i="10" s="1"/>
  <c r="N54" i="10"/>
  <c r="O54" i="10" s="1"/>
  <c r="N57" i="10"/>
  <c r="O57" i="10" s="1"/>
  <c r="AD65" i="10"/>
  <c r="AE65" i="10" s="1"/>
  <c r="N35" i="10"/>
  <c r="O35" i="10" s="1"/>
  <c r="AD132" i="10"/>
  <c r="AE132" i="10" s="1"/>
  <c r="AD152" i="10"/>
  <c r="AE152" i="10" s="1"/>
  <c r="AD173" i="10"/>
  <c r="AE173" i="10" s="1"/>
  <c r="AD158" i="10"/>
  <c r="AE158" i="10" s="1"/>
  <c r="AD92" i="10"/>
  <c r="AE92" i="10" s="1"/>
  <c r="N76" i="10"/>
  <c r="O76" i="10" s="1"/>
  <c r="N87" i="10"/>
  <c r="O87" i="10" s="1"/>
  <c r="AD45" i="10"/>
  <c r="AE45" i="10" s="1"/>
  <c r="N27" i="10"/>
  <c r="O27" i="10" s="1"/>
  <c r="N157" i="10"/>
  <c r="O157" i="10" s="1"/>
  <c r="N146" i="10"/>
  <c r="O146" i="10" s="1"/>
  <c r="O168" i="10"/>
  <c r="AD130" i="10"/>
  <c r="AE130" i="10" s="1"/>
  <c r="N182" i="10"/>
  <c r="O182" i="10" s="1"/>
  <c r="O163" i="10"/>
  <c r="AD159" i="10"/>
  <c r="AE159" i="10" s="1"/>
  <c r="N89" i="10"/>
  <c r="O89" i="10" s="1"/>
  <c r="N173" i="10"/>
  <c r="O173" i="10" s="1"/>
  <c r="N85" i="10"/>
  <c r="O85" i="10" s="1"/>
  <c r="AE186" i="10"/>
  <c r="AE183" i="10"/>
  <c r="AD115" i="10"/>
  <c r="AE115" i="10" s="1"/>
  <c r="AD170" i="10"/>
  <c r="AE170" i="10" s="1"/>
  <c r="O154" i="10"/>
  <c r="AD29" i="10"/>
  <c r="AE29" i="10" s="1"/>
  <c r="AD71" i="10"/>
  <c r="AE71" i="10" s="1"/>
  <c r="N170" i="10"/>
  <c r="O170" i="10" s="1"/>
  <c r="AD134" i="10"/>
  <c r="AE134" i="10" s="1"/>
  <c r="AD121" i="10"/>
  <c r="AE121" i="10" s="1"/>
  <c r="AE47" i="10"/>
  <c r="AD95" i="10"/>
  <c r="AE95" i="10" s="1"/>
  <c r="AE178" i="10"/>
  <c r="AE123" i="10"/>
  <c r="AE163" i="10"/>
  <c r="AE168" i="10"/>
  <c r="AE194" i="10"/>
  <c r="AE171" i="10"/>
  <c r="AE184" i="10"/>
  <c r="AE195" i="10"/>
  <c r="AE147" i="10"/>
  <c r="N132" i="10"/>
  <c r="O132" i="10" s="1"/>
  <c r="N95" i="10"/>
  <c r="O95" i="10" s="1"/>
  <c r="AD74" i="10"/>
  <c r="AE74" i="10" s="1"/>
  <c r="AD32" i="10"/>
  <c r="AE32" i="10" s="1"/>
  <c r="AE58" i="10"/>
  <c r="N177" i="10"/>
  <c r="O177" i="10" s="1"/>
  <c r="AD145" i="10"/>
  <c r="AE145" i="10" s="1"/>
  <c r="N134" i="10"/>
  <c r="O134" i="10" s="1"/>
  <c r="AD116" i="10"/>
  <c r="AE116" i="10" s="1"/>
  <c r="AE127" i="10"/>
  <c r="AD180" i="10"/>
  <c r="AE180" i="10" s="1"/>
  <c r="AE98" i="10"/>
  <c r="N91" i="10"/>
  <c r="O91" i="10" s="1"/>
  <c r="N56" i="10"/>
  <c r="O56" i="10" s="1"/>
  <c r="AE119" i="10"/>
  <c r="N97" i="10"/>
  <c r="O97" i="10" s="1"/>
  <c r="AD172" i="10"/>
  <c r="AE172" i="10" s="1"/>
  <c r="AD122" i="10"/>
  <c r="AE122" i="10" s="1"/>
  <c r="AD192" i="10"/>
  <c r="AE192" i="10" s="1"/>
  <c r="AD157" i="10"/>
  <c r="AE157" i="10" s="1"/>
  <c r="N93" i="10"/>
  <c r="O93" i="10" s="1"/>
  <c r="AD164" i="10"/>
  <c r="AE164" i="10" s="1"/>
  <c r="AD188" i="10"/>
  <c r="AE188" i="10" s="1"/>
  <c r="O192" i="10"/>
  <c r="O143" i="10"/>
  <c r="O183" i="10"/>
  <c r="AD97" i="10"/>
  <c r="AE97" i="10" s="1"/>
  <c r="N139" i="10"/>
  <c r="O139" i="10" s="1"/>
  <c r="AD75" i="10"/>
  <c r="AE75" i="10" s="1"/>
  <c r="N187" i="10"/>
  <c r="O187" i="10" s="1"/>
  <c r="O155" i="10"/>
  <c r="AD150" i="10"/>
  <c r="AE150" i="10" s="1"/>
  <c r="AD114" i="10"/>
  <c r="AE114" i="10" s="1"/>
  <c r="N115" i="10"/>
  <c r="O115" i="10" s="1"/>
  <c r="N77" i="10"/>
  <c r="O77" i="10" s="1"/>
  <c r="AD110" i="10"/>
  <c r="AE110" i="10" s="1"/>
  <c r="N151" i="10"/>
  <c r="O151" i="10" s="1"/>
  <c r="AD61" i="10"/>
  <c r="AE61" i="10" s="1"/>
  <c r="AD40" i="10"/>
  <c r="AE40" i="10" s="1"/>
  <c r="AD167" i="10"/>
  <c r="AE167" i="10" s="1"/>
  <c r="AD197" i="10"/>
  <c r="AE197" i="10" s="1"/>
  <c r="AD131" i="10"/>
  <c r="AE131" i="10" s="1"/>
  <c r="N199" i="10"/>
  <c r="O199" i="10" s="1"/>
  <c r="N36" i="10"/>
  <c r="O36" i="10" s="1"/>
  <c r="N147" i="10"/>
  <c r="O147" i="10" s="1"/>
  <c r="AD106" i="10"/>
  <c r="AE106" i="10" s="1"/>
  <c r="AD42" i="10"/>
  <c r="AE42" i="10" s="1"/>
  <c r="AD35" i="10"/>
  <c r="AE35" i="10" s="1"/>
  <c r="O197" i="10"/>
  <c r="O188" i="10"/>
  <c r="AD96" i="10"/>
  <c r="AE96" i="10" s="1"/>
  <c r="N65" i="10"/>
  <c r="O65" i="10" s="1"/>
  <c r="N167" i="10"/>
  <c r="O167" i="10" s="1"/>
  <c r="N133" i="10"/>
  <c r="O133" i="10" s="1"/>
  <c r="AD146" i="10"/>
  <c r="AE146" i="10" s="1"/>
  <c r="AD139" i="10"/>
  <c r="AE139" i="10" s="1"/>
  <c r="O119" i="10"/>
  <c r="N96" i="10"/>
  <c r="O96" i="10" s="1"/>
  <c r="O184" i="10"/>
  <c r="N130" i="10"/>
  <c r="O130" i="10" s="1"/>
  <c r="N104" i="10"/>
  <c r="O104" i="10" s="1"/>
  <c r="AE111" i="10"/>
  <c r="AE135" i="10"/>
  <c r="O175" i="10"/>
  <c r="N116" i="10"/>
  <c r="O116" i="10" s="1"/>
  <c r="N107" i="10"/>
  <c r="O107" i="10" s="1"/>
  <c r="AE126" i="10"/>
  <c r="N48" i="10"/>
  <c r="O48" i="10" s="1"/>
  <c r="AD136" i="10"/>
  <c r="AE136" i="10" s="1"/>
  <c r="AD37" i="10"/>
  <c r="AE37" i="10" s="1"/>
  <c r="O67" i="10"/>
  <c r="AD57" i="10"/>
  <c r="AE57" i="10" s="1"/>
  <c r="AD79" i="10"/>
  <c r="AE79" i="10" s="1"/>
  <c r="O172" i="10"/>
  <c r="N121" i="10"/>
  <c r="O121" i="10" s="1"/>
  <c r="N80" i="10"/>
  <c r="O80" i="10" s="1"/>
  <c r="N45" i="10"/>
  <c r="O45" i="10" s="1"/>
  <c r="N125" i="10"/>
  <c r="O125" i="10" s="1"/>
  <c r="AE38" i="10"/>
  <c r="N41" i="10"/>
  <c r="O41" i="10" s="1"/>
  <c r="AD125" i="10"/>
  <c r="AE125" i="10" s="1"/>
  <c r="N84" i="10"/>
  <c r="O84" i="10" s="1"/>
  <c r="N108" i="10"/>
  <c r="O108" i="10" s="1"/>
  <c r="N58" i="10"/>
  <c r="O58" i="10" s="1"/>
  <c r="N72" i="10"/>
  <c r="O72" i="10" s="1"/>
  <c r="N44" i="10"/>
  <c r="O44" i="10" s="1"/>
  <c r="AD69" i="10"/>
  <c r="AE69" i="10" s="1"/>
  <c r="N99" i="10"/>
  <c r="O99" i="10" s="1"/>
  <c r="N60" i="10"/>
  <c r="O60" i="10" s="1"/>
  <c r="AD53" i="10"/>
  <c r="AE53" i="10" s="1"/>
  <c r="N32" i="10"/>
  <c r="O32" i="10" s="1"/>
  <c r="AD90" i="10"/>
  <c r="AE90" i="10" s="1"/>
  <c r="AD91" i="10"/>
  <c r="AE91" i="10" s="1"/>
  <c r="AD82" i="10"/>
  <c r="AE82" i="10" s="1"/>
  <c r="AD34" i="10"/>
  <c r="AE34" i="10" s="1"/>
  <c r="AD144" i="10"/>
  <c r="AE144" i="10" s="1"/>
  <c r="AD102" i="10"/>
  <c r="AE102" i="10" s="1"/>
  <c r="AD105" i="10"/>
  <c r="AE105" i="10" s="1"/>
  <c r="AD66" i="10"/>
  <c r="AE66" i="10" s="1"/>
  <c r="AD138" i="10"/>
  <c r="AE138" i="10" s="1"/>
  <c r="N26" i="10"/>
  <c r="O26" i="10" s="1"/>
  <c r="N53" i="10"/>
  <c r="O53" i="10" s="1"/>
  <c r="O198" i="10"/>
  <c r="O62" i="10"/>
  <c r="N28" i="10"/>
  <c r="O28" i="10" s="1"/>
  <c r="N186" i="10"/>
  <c r="O186" i="10" s="1"/>
  <c r="N106" i="10"/>
  <c r="O106" i="10" s="1"/>
  <c r="AD64" i="10"/>
  <c r="AE64" i="10" s="1"/>
  <c r="AD93" i="10"/>
  <c r="AE93" i="10" s="1"/>
  <c r="N191" i="10"/>
  <c r="O191" i="10" s="1"/>
  <c r="AE86" i="10"/>
  <c r="AD48" i="10"/>
  <c r="AE48" i="10" s="1"/>
  <c r="O38" i="10"/>
  <c r="N126" i="10"/>
  <c r="O126" i="10" s="1"/>
  <c r="N51" i="10"/>
  <c r="O51" i="10" s="1"/>
  <c r="AD72" i="10"/>
  <c r="AE72" i="10" s="1"/>
  <c r="AD77" i="10"/>
  <c r="AE77" i="10" s="1"/>
  <c r="N69" i="10"/>
  <c r="O69" i="10" s="1"/>
  <c r="N29" i="10"/>
  <c r="O29" i="10" s="1"/>
  <c r="AD83" i="10"/>
  <c r="AE83" i="10" s="1"/>
  <c r="AD156" i="10"/>
  <c r="AE156" i="10" s="1"/>
  <c r="AD36" i="10"/>
  <c r="AE36" i="10" s="1"/>
  <c r="AD112" i="10"/>
  <c r="AE112" i="10" s="1"/>
  <c r="N113" i="10"/>
  <c r="O113" i="10" s="1"/>
  <c r="N61" i="10"/>
  <c r="O61" i="10" s="1"/>
  <c r="AD141" i="10"/>
  <c r="AE141" i="10" s="1"/>
  <c r="AE99" i="10"/>
  <c r="AD84" i="10"/>
  <c r="AE84" i="10" s="1"/>
  <c r="AD118" i="10"/>
  <c r="AE118" i="10" s="1"/>
  <c r="AD63" i="10"/>
  <c r="AE63" i="10" s="1"/>
  <c r="AD88" i="10"/>
  <c r="AE88" i="10" s="1"/>
  <c r="AD85" i="10"/>
  <c r="AE85" i="10" s="1"/>
  <c r="AD26" i="10"/>
  <c r="AE26" i="10" s="1"/>
  <c r="AD28" i="10"/>
  <c r="AE28" i="10" s="1"/>
  <c r="AE30" i="10"/>
  <c r="AD51" i="10"/>
  <c r="AE51" i="10" s="1"/>
  <c r="N50" i="10"/>
  <c r="O50" i="10" s="1"/>
  <c r="AD128" i="10"/>
  <c r="AE128" i="10" s="1"/>
  <c r="AD108" i="10"/>
  <c r="AE108" i="10" s="1"/>
  <c r="AD101" i="10"/>
  <c r="AE101" i="10" s="1"/>
  <c r="O171" i="10"/>
  <c r="AD113" i="10"/>
  <c r="AE113" i="10" s="1"/>
  <c r="AD41" i="10"/>
  <c r="AE41" i="10" s="1"/>
  <c r="AD78" i="10"/>
  <c r="AE78" i="10" s="1"/>
  <c r="O137" i="10"/>
  <c r="AD109" i="10"/>
  <c r="AE109" i="10" s="1"/>
  <c r="AD55" i="10"/>
  <c r="AE55" i="10" s="1"/>
  <c r="AD89" i="10"/>
  <c r="AE89" i="10" s="1"/>
  <c r="O92" i="10"/>
  <c r="AD87" i="10"/>
  <c r="AE87" i="10" s="1"/>
  <c r="O63" i="10"/>
  <c r="N185" i="10"/>
  <c r="O185" i="10" s="1"/>
  <c r="N98" i="10"/>
  <c r="O98" i="10" s="1"/>
  <c r="N34" i="10"/>
  <c r="O34" i="10" s="1"/>
  <c r="N124" i="10"/>
  <c r="O124" i="10" s="1"/>
  <c r="O88" i="10"/>
  <c r="N120" i="10"/>
  <c r="O120" i="10" s="1"/>
  <c r="N127" i="10"/>
  <c r="O127" i="10" s="1"/>
  <c r="O138" i="10"/>
  <c r="O180" i="10"/>
  <c r="AE67" i="10"/>
  <c r="O68" i="10"/>
  <c r="O105" i="10"/>
  <c r="O78" i="10"/>
  <c r="O103" i="10"/>
  <c r="O30" i="10"/>
  <c r="N81" i="10"/>
  <c r="O81" i="10" s="1"/>
  <c r="N70" i="10"/>
  <c r="O70" i="10" s="1"/>
  <c r="N140" i="10"/>
  <c r="O140" i="10" s="1"/>
  <c r="O190" i="10"/>
  <c r="N141" i="10"/>
  <c r="O141" i="10" s="1"/>
  <c r="O33" i="10"/>
  <c r="N94" i="10"/>
  <c r="O94" i="10" s="1"/>
  <c r="O90" i="10"/>
  <c r="O145" i="10"/>
  <c r="O109" i="10"/>
  <c r="O195" i="10"/>
  <c r="O148" i="10"/>
  <c r="N135" i="10"/>
  <c r="O135" i="10" s="1"/>
  <c r="N129" i="10"/>
  <c r="O129" i="10" s="1"/>
  <c r="O158" i="10"/>
  <c r="AE124" i="10"/>
  <c r="O160" i="10"/>
  <c r="O164" i="10"/>
  <c r="O136" i="10"/>
  <c r="N31" i="10"/>
  <c r="O31" i="10" s="1"/>
  <c r="N111" i="10"/>
  <c r="O111" i="10" s="1"/>
  <c r="N71" i="10"/>
  <c r="O71" i="10" s="1"/>
  <c r="N112" i="10"/>
  <c r="O112" i="10" s="1"/>
  <c r="N114" i="10"/>
  <c r="O114" i="10" s="1"/>
  <c r="O86" i="10"/>
  <c r="O79" i="10"/>
  <c r="O83" i="10"/>
  <c r="N117" i="10"/>
  <c r="O117" i="10" s="1"/>
  <c r="N100" i="10"/>
  <c r="O100" i="10" s="1"/>
  <c r="N128" i="10"/>
  <c r="O128" i="10" s="1"/>
  <c r="O196" i="10"/>
  <c r="N118" i="10"/>
  <c r="O118" i="10" s="1"/>
  <c r="AE76" i="10"/>
  <c r="O122" i="10"/>
  <c r="AD73" i="10"/>
  <c r="AE73" i="10" s="1"/>
  <c r="AD70" i="10"/>
  <c r="AE70" i="10" s="1"/>
  <c r="AD100" i="10"/>
  <c r="AE100" i="10" s="1"/>
  <c r="AD104" i="10"/>
  <c r="AE104" i="10" s="1"/>
  <c r="AD140" i="10"/>
  <c r="AE140" i="10" s="1"/>
  <c r="AD39" i="10"/>
  <c r="AE39" i="10" s="1"/>
  <c r="AD33" i="10"/>
  <c r="AE33" i="10" s="1"/>
  <c r="AD31" i="10"/>
  <c r="AE31" i="10" s="1"/>
  <c r="AD44" i="10"/>
  <c r="AE44" i="10" s="1"/>
  <c r="AD52" i="10"/>
  <c r="AE52" i="10" s="1"/>
  <c r="AD129" i="10"/>
  <c r="AE129" i="10" s="1"/>
  <c r="AD120" i="10"/>
  <c r="AE120" i="10" s="1"/>
  <c r="AD133" i="10"/>
  <c r="AE133" i="10" s="1"/>
  <c r="O174" i="10"/>
  <c r="N102" i="10"/>
  <c r="O102" i="10" s="1"/>
  <c r="N193" i="10"/>
  <c r="O193" i="10" s="1"/>
  <c r="N43" i="10"/>
  <c r="O43" i="10" s="1"/>
  <c r="N64" i="10"/>
  <c r="O64" i="10" s="1"/>
  <c r="N75" i="10"/>
  <c r="O75" i="10" s="1"/>
  <c r="N101" i="10"/>
  <c r="O101" i="10" s="1"/>
  <c r="N194" i="10"/>
  <c r="O194" i="10" s="1"/>
  <c r="N47" i="10"/>
  <c r="O47" i="10" s="1"/>
  <c r="N39" i="10"/>
  <c r="O39" i="10" s="1"/>
  <c r="N110" i="10"/>
  <c r="O110" i="10" s="1"/>
  <c r="N159" i="10"/>
  <c r="O159" i="10" s="1"/>
  <c r="N52" i="10"/>
  <c r="O52" i="10" s="1"/>
  <c r="N46" i="10"/>
  <c r="O46" i="10" s="1"/>
  <c r="L45" i="1"/>
  <c r="L44" i="1"/>
  <c r="B39" i="4" l="1"/>
  <c r="A15" i="1" l="1"/>
  <c r="R198" i="10" l="1"/>
  <c r="AB198" i="10" s="1"/>
  <c r="S198" i="10"/>
  <c r="AF198" i="10" s="1"/>
  <c r="R199" i="10"/>
  <c r="V199" i="10" s="1"/>
  <c r="S199" i="10"/>
  <c r="R200" i="10"/>
  <c r="X200" i="10" s="1"/>
  <c r="S200" i="10"/>
  <c r="Y200" i="10" s="1"/>
  <c r="R201" i="10"/>
  <c r="S201" i="10"/>
  <c r="R202" i="10"/>
  <c r="S202" i="10"/>
  <c r="R203" i="10"/>
  <c r="V203" i="10" s="1"/>
  <c r="S203" i="10"/>
  <c r="AF203" i="10" s="1"/>
  <c r="R204" i="10"/>
  <c r="AB204" i="10" s="1"/>
  <c r="S204" i="10"/>
  <c r="R205" i="10"/>
  <c r="AB205" i="10" s="1"/>
  <c r="S205" i="10"/>
  <c r="AF205" i="10" s="1"/>
  <c r="R206" i="10"/>
  <c r="S206" i="10"/>
  <c r="R207" i="10"/>
  <c r="AB207" i="10" s="1"/>
  <c r="S207" i="10"/>
  <c r="AF207" i="10" s="1"/>
  <c r="R208" i="10"/>
  <c r="X208" i="10" s="1"/>
  <c r="S208" i="10"/>
  <c r="R209" i="10"/>
  <c r="S209" i="10"/>
  <c r="R210" i="10"/>
  <c r="V210" i="10" s="1"/>
  <c r="S210" i="10"/>
  <c r="R211" i="10"/>
  <c r="AA211" i="10" s="1"/>
  <c r="S211" i="10"/>
  <c r="R212" i="10"/>
  <c r="AA212" i="10" s="1"/>
  <c r="S212" i="10"/>
  <c r="R213" i="10"/>
  <c r="S213" i="10"/>
  <c r="AF213" i="10" s="1"/>
  <c r="R214" i="10"/>
  <c r="U214" i="10" s="1"/>
  <c r="S214" i="10"/>
  <c r="R215" i="10"/>
  <c r="AB215" i="10" s="1"/>
  <c r="S215" i="10"/>
  <c r="Y215" i="10" s="1"/>
  <c r="R216" i="10"/>
  <c r="V216" i="10" s="1"/>
  <c r="S216" i="10"/>
  <c r="R217" i="10"/>
  <c r="X217" i="10" s="1"/>
  <c r="S217" i="10"/>
  <c r="R218" i="10"/>
  <c r="AB218" i="10" s="1"/>
  <c r="S218" i="10"/>
  <c r="R219" i="10"/>
  <c r="X219" i="10" s="1"/>
  <c r="S219" i="10"/>
  <c r="AF219" i="10" s="1"/>
  <c r="R220" i="10"/>
  <c r="X220" i="10" s="1"/>
  <c r="S220" i="10"/>
  <c r="R221" i="10"/>
  <c r="U221" i="10" s="1"/>
  <c r="S221" i="10"/>
  <c r="R222" i="10"/>
  <c r="V222" i="10" s="1"/>
  <c r="S222" i="10"/>
  <c r="AF222" i="10" s="1"/>
  <c r="R223" i="10"/>
  <c r="X223" i="10" s="1"/>
  <c r="S223" i="10"/>
  <c r="R224" i="10"/>
  <c r="U224" i="10" s="1"/>
  <c r="S224" i="10"/>
  <c r="AF224" i="10" s="1"/>
  <c r="R225" i="10"/>
  <c r="U225" i="10" s="1"/>
  <c r="S225" i="10"/>
  <c r="AF225" i="10" s="1"/>
  <c r="R226" i="10"/>
  <c r="U226" i="10" s="1"/>
  <c r="S226" i="10"/>
  <c r="R227" i="10"/>
  <c r="X227" i="10" s="1"/>
  <c r="S227" i="10"/>
  <c r="AF227" i="10" s="1"/>
  <c r="R228" i="10"/>
  <c r="X228" i="10" s="1"/>
  <c r="S228" i="10"/>
  <c r="R229" i="10"/>
  <c r="V229" i="10" s="1"/>
  <c r="S229" i="10"/>
  <c r="R230" i="10"/>
  <c r="S230" i="10"/>
  <c r="R231" i="10"/>
  <c r="U231" i="10" s="1"/>
  <c r="S231" i="10"/>
  <c r="AF231" i="10" s="1"/>
  <c r="R232" i="10"/>
  <c r="S232" i="10"/>
  <c r="R233" i="10"/>
  <c r="AB233" i="10" s="1"/>
  <c r="S233" i="10"/>
  <c r="R234" i="10"/>
  <c r="X234" i="10" s="1"/>
  <c r="S234" i="10"/>
  <c r="R235" i="10"/>
  <c r="AA235" i="10" s="1"/>
  <c r="S235" i="10"/>
  <c r="AF235" i="10" s="1"/>
  <c r="R236" i="10"/>
  <c r="V236" i="10" s="1"/>
  <c r="S236" i="10"/>
  <c r="R237" i="10"/>
  <c r="U237" i="10" s="1"/>
  <c r="S237" i="10"/>
  <c r="R238" i="10"/>
  <c r="U238" i="10" s="1"/>
  <c r="S238" i="10"/>
  <c r="AF238" i="10" s="1"/>
  <c r="R239" i="10"/>
  <c r="V239" i="10" s="1"/>
  <c r="S239" i="10"/>
  <c r="R240" i="10"/>
  <c r="AB240" i="10" s="1"/>
  <c r="S240" i="10"/>
  <c r="R241" i="10"/>
  <c r="V241" i="10" s="1"/>
  <c r="S241" i="10"/>
  <c r="R242" i="10"/>
  <c r="S242" i="10"/>
  <c r="R243" i="10"/>
  <c r="S243" i="10"/>
  <c r="AF243" i="10" s="1"/>
  <c r="R244" i="10"/>
  <c r="AB244" i="10" s="1"/>
  <c r="S244" i="10"/>
  <c r="R245" i="10"/>
  <c r="U245" i="10" s="1"/>
  <c r="S245" i="10"/>
  <c r="AF245" i="10" s="1"/>
  <c r="R246" i="10"/>
  <c r="AA246" i="10" s="1"/>
  <c r="S246" i="10"/>
  <c r="R247" i="10"/>
  <c r="X247" i="10" s="1"/>
  <c r="S247" i="10"/>
  <c r="R248" i="10"/>
  <c r="AA248" i="10" s="1"/>
  <c r="S248" i="10"/>
  <c r="R249" i="10"/>
  <c r="X249" i="10" s="1"/>
  <c r="S249" i="10"/>
  <c r="R250" i="10"/>
  <c r="V250" i="10" s="1"/>
  <c r="S250" i="10"/>
  <c r="R251" i="10"/>
  <c r="AA251" i="10" s="1"/>
  <c r="S251" i="10"/>
  <c r="AF251" i="10" s="1"/>
  <c r="R252" i="10"/>
  <c r="X252" i="10" s="1"/>
  <c r="S252" i="10"/>
  <c r="AF252" i="10" s="1"/>
  <c r="R253" i="10"/>
  <c r="V253" i="10" s="1"/>
  <c r="S253" i="10"/>
  <c r="R254" i="10"/>
  <c r="S254" i="10"/>
  <c r="AF254" i="10" s="1"/>
  <c r="R255" i="10"/>
  <c r="U255" i="10" s="1"/>
  <c r="S255" i="10"/>
  <c r="Y255" i="10" s="1"/>
  <c r="R256" i="10"/>
  <c r="X256" i="10" s="1"/>
  <c r="S256" i="10"/>
  <c r="AF256" i="10" s="1"/>
  <c r="R257" i="10"/>
  <c r="AA257" i="10" s="1"/>
  <c r="S257" i="10"/>
  <c r="R258" i="10"/>
  <c r="S258" i="10"/>
  <c r="R259" i="10"/>
  <c r="S259" i="10"/>
  <c r="R260" i="10"/>
  <c r="S260" i="10"/>
  <c r="R261" i="10"/>
  <c r="U261" i="10" s="1"/>
  <c r="S261" i="10"/>
  <c r="R262" i="10"/>
  <c r="S262" i="10"/>
  <c r="R263" i="10"/>
  <c r="S263" i="10"/>
  <c r="Y263" i="10" s="1"/>
  <c r="R264" i="10"/>
  <c r="S264" i="10"/>
  <c r="Y264" i="10" s="1"/>
  <c r="R265" i="10"/>
  <c r="U265" i="10" s="1"/>
  <c r="S265" i="10"/>
  <c r="AF265" i="10" s="1"/>
  <c r="R266" i="10"/>
  <c r="AA266" i="10" s="1"/>
  <c r="S266" i="10"/>
  <c r="R267" i="10"/>
  <c r="S267" i="10"/>
  <c r="R268" i="10"/>
  <c r="S268" i="10"/>
  <c r="R269" i="10"/>
  <c r="S269" i="10"/>
  <c r="AF269" i="10" s="1"/>
  <c r="R270" i="10"/>
  <c r="S270" i="10"/>
  <c r="AF270" i="10" s="1"/>
  <c r="R271" i="10"/>
  <c r="V271" i="10" s="1"/>
  <c r="S271" i="10"/>
  <c r="R272" i="10"/>
  <c r="AB272" i="10" s="1"/>
  <c r="S272" i="10"/>
  <c r="Y272" i="10" s="1"/>
  <c r="R273" i="10"/>
  <c r="V273" i="10" s="1"/>
  <c r="S273" i="10"/>
  <c r="R274" i="10"/>
  <c r="U274" i="10" s="1"/>
  <c r="S274" i="10"/>
  <c r="R275" i="10"/>
  <c r="S275" i="10"/>
  <c r="AF275" i="10" s="1"/>
  <c r="R276" i="10"/>
  <c r="AA276" i="10" s="1"/>
  <c r="S276" i="10"/>
  <c r="Y276" i="10" s="1"/>
  <c r="R277" i="10"/>
  <c r="S277" i="10"/>
  <c r="AF277" i="10" s="1"/>
  <c r="R278" i="10"/>
  <c r="X278" i="10" s="1"/>
  <c r="S278" i="10"/>
  <c r="R279" i="10"/>
  <c r="U279" i="10" s="1"/>
  <c r="S279" i="10"/>
  <c r="R280" i="10"/>
  <c r="U280" i="10" s="1"/>
  <c r="S280" i="10"/>
  <c r="R281" i="10"/>
  <c r="V281" i="10" s="1"/>
  <c r="S281" i="10"/>
  <c r="R282" i="10"/>
  <c r="AB282" i="10" s="1"/>
  <c r="S282" i="10"/>
  <c r="R283" i="10"/>
  <c r="S283" i="10"/>
  <c r="R284" i="10"/>
  <c r="U284" i="10" s="1"/>
  <c r="S284" i="10"/>
  <c r="R285" i="10"/>
  <c r="U285" i="10" s="1"/>
  <c r="S285" i="10"/>
  <c r="R286" i="10"/>
  <c r="V286" i="10" s="1"/>
  <c r="S286" i="10"/>
  <c r="AF286" i="10" s="1"/>
  <c r="R287" i="10"/>
  <c r="AA287" i="10" s="1"/>
  <c r="S287" i="10"/>
  <c r="R288" i="10"/>
  <c r="S288" i="10"/>
  <c r="Y288" i="10" s="1"/>
  <c r="R289" i="10"/>
  <c r="X289" i="10" s="1"/>
  <c r="S289" i="10"/>
  <c r="R290" i="10"/>
  <c r="U290" i="10" s="1"/>
  <c r="S290" i="10"/>
  <c r="R291" i="10"/>
  <c r="V291" i="10" s="1"/>
  <c r="S291" i="10"/>
  <c r="AF291" i="10" s="1"/>
  <c r="R292" i="10"/>
  <c r="S292" i="10"/>
  <c r="AF292" i="10" s="1"/>
  <c r="R293" i="10"/>
  <c r="U293" i="10" s="1"/>
  <c r="S293" i="10"/>
  <c r="R294" i="10"/>
  <c r="AA294" i="10" s="1"/>
  <c r="S294" i="10"/>
  <c r="R295" i="10"/>
  <c r="AA295" i="10" s="1"/>
  <c r="S295" i="10"/>
  <c r="R296" i="10"/>
  <c r="AB296" i="10" s="1"/>
  <c r="S296" i="10"/>
  <c r="AF296" i="10" s="1"/>
  <c r="R297" i="10"/>
  <c r="U297" i="10" s="1"/>
  <c r="S297" i="10"/>
  <c r="R298" i="10"/>
  <c r="AA298" i="10" s="1"/>
  <c r="S298" i="10"/>
  <c r="R299" i="10"/>
  <c r="S299" i="10"/>
  <c r="AF299" i="10" s="1"/>
  <c r="R300" i="10"/>
  <c r="V300" i="10" s="1"/>
  <c r="S300" i="10"/>
  <c r="Y300" i="10" s="1"/>
  <c r="R301" i="10"/>
  <c r="S301" i="10"/>
  <c r="R302" i="10"/>
  <c r="AA302" i="10" s="1"/>
  <c r="S302" i="10"/>
  <c r="AF302" i="10" s="1"/>
  <c r="R303" i="10"/>
  <c r="V303" i="10" s="1"/>
  <c r="S303" i="10"/>
  <c r="AF303" i="10" s="1"/>
  <c r="R304" i="10"/>
  <c r="U304" i="10" s="1"/>
  <c r="S304" i="10"/>
  <c r="AF304" i="10" s="1"/>
  <c r="R305" i="10"/>
  <c r="AB305" i="10" s="1"/>
  <c r="S305" i="10"/>
  <c r="AF305" i="10" s="1"/>
  <c r="R306" i="10"/>
  <c r="U306" i="10" s="1"/>
  <c r="S306" i="10"/>
  <c r="R307" i="10"/>
  <c r="AB307" i="10" s="1"/>
  <c r="S307" i="10"/>
  <c r="R308" i="10"/>
  <c r="X308" i="10" s="1"/>
  <c r="S308" i="10"/>
  <c r="AF308" i="10" s="1"/>
  <c r="R309" i="10"/>
  <c r="X309" i="10" s="1"/>
  <c r="S309" i="10"/>
  <c r="AF309" i="10" s="1"/>
  <c r="R310" i="10"/>
  <c r="S310" i="10"/>
  <c r="R311" i="10"/>
  <c r="U311" i="10" s="1"/>
  <c r="S311" i="10"/>
  <c r="R312" i="10"/>
  <c r="S312" i="10"/>
  <c r="AF312" i="10" s="1"/>
  <c r="R313" i="10"/>
  <c r="V313" i="10" s="1"/>
  <c r="S313" i="10"/>
  <c r="R314" i="10"/>
  <c r="X314" i="10" s="1"/>
  <c r="S314" i="10"/>
  <c r="R315" i="10"/>
  <c r="S315" i="10"/>
  <c r="R316" i="10"/>
  <c r="S316" i="10"/>
  <c r="Y316" i="10" s="1"/>
  <c r="R317" i="10"/>
  <c r="AA317" i="10" s="1"/>
  <c r="S317" i="10"/>
  <c r="R318" i="10"/>
  <c r="S318" i="10"/>
  <c r="R319" i="10"/>
  <c r="AB319" i="10" s="1"/>
  <c r="S319" i="10"/>
  <c r="R320" i="10"/>
  <c r="S320" i="10"/>
  <c r="Y320" i="10" s="1"/>
  <c r="R321" i="10"/>
  <c r="S321" i="10"/>
  <c r="AF321" i="10" s="1"/>
  <c r="R322" i="10"/>
  <c r="X322" i="10" s="1"/>
  <c r="S322" i="10"/>
  <c r="R323" i="10"/>
  <c r="S323" i="10"/>
  <c r="R324" i="10"/>
  <c r="S324" i="10"/>
  <c r="AF324" i="10" s="1"/>
  <c r="R325" i="10"/>
  <c r="U325" i="10" s="1"/>
  <c r="S325" i="10"/>
  <c r="R326" i="10"/>
  <c r="S326" i="10"/>
  <c r="R327" i="10"/>
  <c r="U327" i="10" s="1"/>
  <c r="S327" i="10"/>
  <c r="R328" i="10"/>
  <c r="S328" i="10"/>
  <c r="Y328" i="10" s="1"/>
  <c r="R329" i="10"/>
  <c r="S329" i="10"/>
  <c r="AF329" i="10" s="1"/>
  <c r="R330" i="10"/>
  <c r="AB330" i="10" s="1"/>
  <c r="S330" i="10"/>
  <c r="AF330" i="10" s="1"/>
  <c r="R331" i="10"/>
  <c r="S331" i="10"/>
  <c r="R332" i="10"/>
  <c r="S332" i="10"/>
  <c r="Y332" i="10" s="1"/>
  <c r="R333" i="10"/>
  <c r="S333" i="10"/>
  <c r="R334" i="10"/>
  <c r="S334" i="10"/>
  <c r="R335" i="10"/>
  <c r="AB335" i="10" s="1"/>
  <c r="S335" i="10"/>
  <c r="R336" i="10"/>
  <c r="AB336" i="10" s="1"/>
  <c r="S336" i="10"/>
  <c r="Y336" i="10" s="1"/>
  <c r="R337" i="10"/>
  <c r="U337" i="10" s="1"/>
  <c r="S337" i="10"/>
  <c r="AF337" i="10" s="1"/>
  <c r="R338" i="10"/>
  <c r="AB338" i="10" s="1"/>
  <c r="S338" i="10"/>
  <c r="R339" i="10"/>
  <c r="X339" i="10" s="1"/>
  <c r="S339" i="10"/>
  <c r="R340" i="10"/>
  <c r="U340" i="10" s="1"/>
  <c r="S340" i="10"/>
  <c r="Y340" i="10" s="1"/>
  <c r="R341" i="10"/>
  <c r="X341" i="10" s="1"/>
  <c r="S341" i="10"/>
  <c r="R342" i="10"/>
  <c r="U342" i="10" s="1"/>
  <c r="S342" i="10"/>
  <c r="R343" i="10"/>
  <c r="U343" i="10" s="1"/>
  <c r="S343" i="10"/>
  <c r="R344" i="10"/>
  <c r="X344" i="10" s="1"/>
  <c r="S344" i="10"/>
  <c r="Y344" i="10" s="1"/>
  <c r="R345" i="10"/>
  <c r="U345" i="10" s="1"/>
  <c r="S345" i="10"/>
  <c r="AF345" i="10" s="1"/>
  <c r="R346" i="10"/>
  <c r="AB346" i="10" s="1"/>
  <c r="S346" i="10"/>
  <c r="R347" i="10"/>
  <c r="S347" i="10"/>
  <c r="R348" i="10"/>
  <c r="U348" i="10" s="1"/>
  <c r="S348" i="10"/>
  <c r="AF348" i="10" s="1"/>
  <c r="R349" i="10"/>
  <c r="AA349" i="10" s="1"/>
  <c r="S349" i="10"/>
  <c r="AF349" i="10" s="1"/>
  <c r="R350" i="10"/>
  <c r="V350" i="10" s="1"/>
  <c r="S350" i="10"/>
  <c r="R351" i="10"/>
  <c r="V351" i="10" s="1"/>
  <c r="S351" i="10"/>
  <c r="R352" i="10"/>
  <c r="U352" i="10" s="1"/>
  <c r="S352" i="10"/>
  <c r="Y352" i="10" s="1"/>
  <c r="R353" i="10"/>
  <c r="V353" i="10" s="1"/>
  <c r="S353" i="10"/>
  <c r="AF353" i="10" s="1"/>
  <c r="R354" i="10"/>
  <c r="AB354" i="10" s="1"/>
  <c r="S354" i="10"/>
  <c r="AF354" i="10" s="1"/>
  <c r="R355" i="10"/>
  <c r="X355" i="10" s="1"/>
  <c r="S355" i="10"/>
  <c r="R356" i="10"/>
  <c r="U356" i="10" s="1"/>
  <c r="S356" i="10"/>
  <c r="Y356" i="10" s="1"/>
  <c r="R357" i="10"/>
  <c r="AA357" i="10" s="1"/>
  <c r="S357" i="10"/>
  <c r="AF357" i="10" s="1"/>
  <c r="R358" i="10"/>
  <c r="V358" i="10" s="1"/>
  <c r="S358" i="10"/>
  <c r="AF358" i="10" s="1"/>
  <c r="R359" i="10"/>
  <c r="V359" i="10" s="1"/>
  <c r="S359" i="10"/>
  <c r="R360" i="10"/>
  <c r="U360" i="10" s="1"/>
  <c r="S360" i="10"/>
  <c r="Y360" i="10" s="1"/>
  <c r="R361" i="10"/>
  <c r="X361" i="10" s="1"/>
  <c r="S361" i="10"/>
  <c r="AF361" i="10" s="1"/>
  <c r="R362" i="10"/>
  <c r="U362" i="10" s="1"/>
  <c r="S362" i="10"/>
  <c r="R363" i="10"/>
  <c r="X363" i="10" s="1"/>
  <c r="S363" i="10"/>
  <c r="AF363" i="10" s="1"/>
  <c r="R364" i="10"/>
  <c r="V364" i="10" s="1"/>
  <c r="S364" i="10"/>
  <c r="Y364" i="10" s="1"/>
  <c r="R365" i="10"/>
  <c r="AA365" i="10" s="1"/>
  <c r="S365" i="10"/>
  <c r="R366" i="10"/>
  <c r="U366" i="10" s="1"/>
  <c r="S366" i="10"/>
  <c r="R367" i="10"/>
  <c r="AB367" i="10" s="1"/>
  <c r="S367" i="10"/>
  <c r="R368" i="10"/>
  <c r="V368" i="10" s="1"/>
  <c r="S368" i="10"/>
  <c r="Y368" i="10" s="1"/>
  <c r="R369" i="10"/>
  <c r="U369" i="10" s="1"/>
  <c r="S369" i="10"/>
  <c r="R370" i="10"/>
  <c r="AB370" i="10" s="1"/>
  <c r="S370" i="10"/>
  <c r="AF370" i="10" s="1"/>
  <c r="R371" i="10"/>
  <c r="X371" i="10" s="1"/>
  <c r="S371" i="10"/>
  <c r="AF371" i="10" s="1"/>
  <c r="R372" i="10"/>
  <c r="X372" i="10" s="1"/>
  <c r="S372" i="10"/>
  <c r="R373" i="10"/>
  <c r="AA373" i="10" s="1"/>
  <c r="S373" i="10"/>
  <c r="R374" i="10"/>
  <c r="V374" i="10" s="1"/>
  <c r="S374" i="10"/>
  <c r="R375" i="10"/>
  <c r="U375" i="10" s="1"/>
  <c r="S375" i="10"/>
  <c r="AF375" i="10" s="1"/>
  <c r="R376" i="10"/>
  <c r="X376" i="10" s="1"/>
  <c r="S376" i="10"/>
  <c r="Y376" i="10" s="1"/>
  <c r="R377" i="10"/>
  <c r="U377" i="10" s="1"/>
  <c r="S377" i="10"/>
  <c r="AF377" i="10" s="1"/>
  <c r="R378" i="10"/>
  <c r="AB378" i="10" s="1"/>
  <c r="S378" i="10"/>
  <c r="R379" i="10"/>
  <c r="X379" i="10" s="1"/>
  <c r="S379" i="10"/>
  <c r="R380" i="10"/>
  <c r="V380" i="10" s="1"/>
  <c r="S380" i="10"/>
  <c r="AF380" i="10" s="1"/>
  <c r="R381" i="10"/>
  <c r="AA381" i="10" s="1"/>
  <c r="S381" i="10"/>
  <c r="R382" i="10"/>
  <c r="V382" i="10" s="1"/>
  <c r="S382" i="10"/>
  <c r="AF382" i="10" s="1"/>
  <c r="R383" i="10"/>
  <c r="X383" i="10" s="1"/>
  <c r="S383" i="10"/>
  <c r="R384" i="10"/>
  <c r="U384" i="10" s="1"/>
  <c r="S384" i="10"/>
  <c r="Y384" i="10" s="1"/>
  <c r="R385" i="10"/>
  <c r="U385" i="10" s="1"/>
  <c r="S385" i="10"/>
  <c r="AF385" i="10" s="1"/>
  <c r="R386" i="10"/>
  <c r="AB386" i="10" s="1"/>
  <c r="S386" i="10"/>
  <c r="R387" i="10"/>
  <c r="S387" i="10"/>
  <c r="R388" i="10"/>
  <c r="AA388" i="10" s="1"/>
  <c r="S388" i="10"/>
  <c r="Y388" i="10" s="1"/>
  <c r="R389" i="10"/>
  <c r="AA389" i="10" s="1"/>
  <c r="S389" i="10"/>
  <c r="R390" i="10"/>
  <c r="V390" i="10" s="1"/>
  <c r="S390" i="10"/>
  <c r="R391" i="10"/>
  <c r="U391" i="10" s="1"/>
  <c r="S391" i="10"/>
  <c r="AF391" i="10" s="1"/>
  <c r="R392" i="10"/>
  <c r="AA392" i="10" s="1"/>
  <c r="S392" i="10"/>
  <c r="Y392" i="10" s="1"/>
  <c r="R393" i="10"/>
  <c r="U393" i="10" s="1"/>
  <c r="S393" i="10"/>
  <c r="AF393" i="10" s="1"/>
  <c r="R394" i="10"/>
  <c r="U394" i="10" s="1"/>
  <c r="S394" i="10"/>
  <c r="R395" i="10"/>
  <c r="X395" i="10" s="1"/>
  <c r="S395" i="10"/>
  <c r="R396" i="10"/>
  <c r="U396" i="10" s="1"/>
  <c r="S396" i="10"/>
  <c r="AF396" i="10" s="1"/>
  <c r="R397" i="10"/>
  <c r="AB397" i="10" s="1"/>
  <c r="S397" i="10"/>
  <c r="AF397" i="10" s="1"/>
  <c r="R398" i="10"/>
  <c r="V398" i="10" s="1"/>
  <c r="S398" i="10"/>
  <c r="R399" i="10"/>
  <c r="U399" i="10" s="1"/>
  <c r="S399" i="10"/>
  <c r="R400" i="10"/>
  <c r="U400" i="10" s="1"/>
  <c r="S400" i="10"/>
  <c r="Y400" i="10" s="1"/>
  <c r="R401" i="10"/>
  <c r="U401" i="10" s="1"/>
  <c r="S401" i="10"/>
  <c r="AF401" i="10" s="1"/>
  <c r="R402" i="10"/>
  <c r="X402" i="10" s="1"/>
  <c r="S402" i="10"/>
  <c r="R403" i="10"/>
  <c r="X403" i="10" s="1"/>
  <c r="S403" i="10"/>
  <c r="R404" i="10"/>
  <c r="U404" i="10" s="1"/>
  <c r="S404" i="10"/>
  <c r="AF404" i="10" s="1"/>
  <c r="R405" i="10"/>
  <c r="S405" i="10"/>
  <c r="R406" i="10"/>
  <c r="V406" i="10" s="1"/>
  <c r="S406" i="10"/>
  <c r="R407" i="10"/>
  <c r="U407" i="10" s="1"/>
  <c r="S407" i="10"/>
  <c r="R408" i="10"/>
  <c r="AA408" i="10" s="1"/>
  <c r="S408" i="10"/>
  <c r="Y408" i="10" s="1"/>
  <c r="R409" i="10"/>
  <c r="U409" i="10" s="1"/>
  <c r="S409" i="10"/>
  <c r="AF409" i="10" s="1"/>
  <c r="R410" i="10"/>
  <c r="AA410" i="10" s="1"/>
  <c r="S410" i="10"/>
  <c r="R411" i="10"/>
  <c r="X411" i="10" s="1"/>
  <c r="S411" i="10"/>
  <c r="R412" i="10"/>
  <c r="U412" i="10" s="1"/>
  <c r="S412" i="10"/>
  <c r="AF412" i="10" s="1"/>
  <c r="R413" i="10"/>
  <c r="V413" i="10" s="1"/>
  <c r="S413" i="10"/>
  <c r="AF413" i="10" s="1"/>
  <c r="R414" i="10"/>
  <c r="V414" i="10" s="1"/>
  <c r="S414" i="10"/>
  <c r="R415" i="10"/>
  <c r="U415" i="10" s="1"/>
  <c r="S415" i="10"/>
  <c r="R416" i="10"/>
  <c r="AA416" i="10" s="1"/>
  <c r="S416" i="10"/>
  <c r="Y416" i="10" s="1"/>
  <c r="R417" i="10"/>
  <c r="U417" i="10" s="1"/>
  <c r="S417" i="10"/>
  <c r="AF417" i="10" s="1"/>
  <c r="R418" i="10"/>
  <c r="V418" i="10" s="1"/>
  <c r="S418" i="10"/>
  <c r="AF418" i="10" s="1"/>
  <c r="R419" i="10"/>
  <c r="X419" i="10" s="1"/>
  <c r="S419" i="10"/>
  <c r="B200" i="10"/>
  <c r="E200" i="10" s="1"/>
  <c r="C200" i="10"/>
  <c r="B201" i="10"/>
  <c r="K201" i="10" s="1"/>
  <c r="C201" i="10"/>
  <c r="B202" i="10"/>
  <c r="E202" i="10" s="1"/>
  <c r="C202" i="10"/>
  <c r="P202" i="10" s="1"/>
  <c r="B203" i="10"/>
  <c r="E203" i="10" s="1"/>
  <c r="C203" i="10"/>
  <c r="P203" i="10" s="1"/>
  <c r="B204" i="10"/>
  <c r="C204" i="10"/>
  <c r="B205" i="10"/>
  <c r="L205" i="10" s="1"/>
  <c r="C205" i="10"/>
  <c r="B206" i="10"/>
  <c r="C206" i="10"/>
  <c r="B207" i="10"/>
  <c r="C207" i="10"/>
  <c r="P207" i="10" s="1"/>
  <c r="B208" i="10"/>
  <c r="L208" i="10" s="1"/>
  <c r="C208" i="10"/>
  <c r="P208" i="10" s="1"/>
  <c r="B209" i="10"/>
  <c r="E209" i="10" s="1"/>
  <c r="C209" i="10"/>
  <c r="B210" i="10"/>
  <c r="E210" i="10" s="1"/>
  <c r="C210" i="10"/>
  <c r="B211" i="10"/>
  <c r="E211" i="10" s="1"/>
  <c r="C211" i="10"/>
  <c r="B212" i="10"/>
  <c r="L212" i="10" s="1"/>
  <c r="C212" i="10"/>
  <c r="P212" i="10" s="1"/>
  <c r="B213" i="10"/>
  <c r="C213" i="10"/>
  <c r="B214" i="10"/>
  <c r="F214" i="10" s="1"/>
  <c r="C214" i="10"/>
  <c r="B215" i="10"/>
  <c r="E215" i="10" s="1"/>
  <c r="C215" i="10"/>
  <c r="B216" i="10"/>
  <c r="C216" i="10"/>
  <c r="B217" i="10"/>
  <c r="L217" i="10" s="1"/>
  <c r="C217" i="10"/>
  <c r="P217" i="10" s="1"/>
  <c r="B218" i="10"/>
  <c r="H218" i="10" s="1"/>
  <c r="C218" i="10"/>
  <c r="B219" i="10"/>
  <c r="F219" i="10" s="1"/>
  <c r="C219" i="10"/>
  <c r="P219" i="10" s="1"/>
  <c r="B220" i="10"/>
  <c r="F220" i="10" s="1"/>
  <c r="C220" i="10"/>
  <c r="P220" i="10" s="1"/>
  <c r="B221" i="10"/>
  <c r="L221" i="10" s="1"/>
  <c r="C221" i="10"/>
  <c r="B222" i="10"/>
  <c r="L222" i="10" s="1"/>
  <c r="C222" i="10"/>
  <c r="B223" i="10"/>
  <c r="C223" i="10"/>
  <c r="B224" i="10"/>
  <c r="L224" i="10" s="1"/>
  <c r="C224" i="10"/>
  <c r="B225" i="10"/>
  <c r="C225" i="10"/>
  <c r="B226" i="10"/>
  <c r="H226" i="10" s="1"/>
  <c r="C226" i="10"/>
  <c r="B227" i="10"/>
  <c r="L227" i="10" s="1"/>
  <c r="C227" i="10"/>
  <c r="B228" i="10"/>
  <c r="E228" i="10" s="1"/>
  <c r="C228" i="10"/>
  <c r="B229" i="10"/>
  <c r="E229" i="10" s="1"/>
  <c r="C229" i="10"/>
  <c r="P229" i="10" s="1"/>
  <c r="B230" i="10"/>
  <c r="C230" i="10"/>
  <c r="B231" i="10"/>
  <c r="E231" i="10" s="1"/>
  <c r="C231" i="10"/>
  <c r="B232" i="10"/>
  <c r="E232" i="10" s="1"/>
  <c r="C232" i="10"/>
  <c r="I232" i="10" s="1"/>
  <c r="B233" i="10"/>
  <c r="K233" i="10" s="1"/>
  <c r="C233" i="10"/>
  <c r="P233" i="10" s="1"/>
  <c r="B234" i="10"/>
  <c r="C234" i="10"/>
  <c r="B235" i="10"/>
  <c r="F235" i="10" s="1"/>
  <c r="C235" i="10"/>
  <c r="P235" i="10" s="1"/>
  <c r="B236" i="10"/>
  <c r="C236" i="10"/>
  <c r="I236" i="10" s="1"/>
  <c r="B237" i="10"/>
  <c r="F237" i="10" s="1"/>
  <c r="C237" i="10"/>
  <c r="B238" i="10"/>
  <c r="C238" i="10"/>
  <c r="B239" i="10"/>
  <c r="F239" i="10" s="1"/>
  <c r="C239" i="10"/>
  <c r="B240" i="10"/>
  <c r="C240" i="10"/>
  <c r="I240" i="10" s="1"/>
  <c r="B241" i="10"/>
  <c r="K241" i="10" s="1"/>
  <c r="C241" i="10"/>
  <c r="P241" i="10" s="1"/>
  <c r="B242" i="10"/>
  <c r="C242" i="10"/>
  <c r="B243" i="10"/>
  <c r="K243" i="10" s="1"/>
  <c r="C243" i="10"/>
  <c r="P243" i="10" s="1"/>
  <c r="B244" i="10"/>
  <c r="K244" i="10" s="1"/>
  <c r="C244" i="10"/>
  <c r="P244" i="10" s="1"/>
  <c r="B245" i="10"/>
  <c r="E245" i="10" s="1"/>
  <c r="C245" i="10"/>
  <c r="B246" i="10"/>
  <c r="L246" i="10" s="1"/>
  <c r="C246" i="10"/>
  <c r="P246" i="10" s="1"/>
  <c r="B247" i="10"/>
  <c r="K247" i="10" s="1"/>
  <c r="C247" i="10"/>
  <c r="B248" i="10"/>
  <c r="F248" i="10" s="1"/>
  <c r="C248" i="10"/>
  <c r="B249" i="10"/>
  <c r="H249" i="10" s="1"/>
  <c r="C249" i="10"/>
  <c r="B250" i="10"/>
  <c r="C250" i="10"/>
  <c r="B251" i="10"/>
  <c r="K251" i="10" s="1"/>
  <c r="C251" i="10"/>
  <c r="P251" i="10" s="1"/>
  <c r="B252" i="10"/>
  <c r="K252" i="10" s="1"/>
  <c r="C252" i="10"/>
  <c r="P252" i="10" s="1"/>
  <c r="B253" i="10"/>
  <c r="L253" i="10" s="1"/>
  <c r="C253" i="10"/>
  <c r="B254" i="10"/>
  <c r="E254" i="10" s="1"/>
  <c r="C254" i="10"/>
  <c r="B255" i="10"/>
  <c r="E255" i="10" s="1"/>
  <c r="C255" i="10"/>
  <c r="B256" i="10"/>
  <c r="E256" i="10" s="1"/>
  <c r="C256" i="10"/>
  <c r="I256" i="10" s="1"/>
  <c r="B257" i="10"/>
  <c r="E257" i="10" s="1"/>
  <c r="C257" i="10"/>
  <c r="B258" i="10"/>
  <c r="C258" i="10"/>
  <c r="B259" i="10"/>
  <c r="L259" i="10" s="1"/>
  <c r="C259" i="10"/>
  <c r="B260" i="10"/>
  <c r="C260" i="10"/>
  <c r="P260" i="10" s="1"/>
  <c r="B261" i="10"/>
  <c r="L261" i="10" s="1"/>
  <c r="C261" i="10"/>
  <c r="P261" i="10" s="1"/>
  <c r="B262" i="10"/>
  <c r="H262" i="10" s="1"/>
  <c r="C262" i="10"/>
  <c r="B263" i="10"/>
  <c r="C263" i="10"/>
  <c r="B264" i="10"/>
  <c r="H264" i="10" s="1"/>
  <c r="C264" i="10"/>
  <c r="I264" i="10" s="1"/>
  <c r="B265" i="10"/>
  <c r="C265" i="10"/>
  <c r="P265" i="10" s="1"/>
  <c r="B266" i="10"/>
  <c r="H266" i="10" s="1"/>
  <c r="C266" i="10"/>
  <c r="B267" i="10"/>
  <c r="H267" i="10" s="1"/>
  <c r="C267" i="10"/>
  <c r="P267" i="10" s="1"/>
  <c r="B268" i="10"/>
  <c r="E268" i="10" s="1"/>
  <c r="C268" i="10"/>
  <c r="I268" i="10" s="1"/>
  <c r="B269" i="10"/>
  <c r="C269" i="10"/>
  <c r="B270" i="10"/>
  <c r="E270" i="10" s="1"/>
  <c r="C270" i="10"/>
  <c r="P270" i="10" s="1"/>
  <c r="B271" i="10"/>
  <c r="K271" i="10" s="1"/>
  <c r="C271" i="10"/>
  <c r="P271" i="10" s="1"/>
  <c r="B272" i="10"/>
  <c r="F272" i="10" s="1"/>
  <c r="C272" i="10"/>
  <c r="B273" i="10"/>
  <c r="H273" i="10" s="1"/>
  <c r="C273" i="10"/>
  <c r="B274" i="10"/>
  <c r="E274" i="10" s="1"/>
  <c r="C274" i="10"/>
  <c r="B275" i="10"/>
  <c r="F275" i="10" s="1"/>
  <c r="C275" i="10"/>
  <c r="B276" i="10"/>
  <c r="H276" i="10" s="1"/>
  <c r="C276" i="10"/>
  <c r="I276" i="10" s="1"/>
  <c r="B277" i="10"/>
  <c r="C277" i="10"/>
  <c r="B278" i="10"/>
  <c r="E278" i="10" s="1"/>
  <c r="C278" i="10"/>
  <c r="B279" i="10"/>
  <c r="E279" i="10" s="1"/>
  <c r="C279" i="10"/>
  <c r="B280" i="10"/>
  <c r="F280" i="10" s="1"/>
  <c r="C280" i="10"/>
  <c r="I280" i="10" s="1"/>
  <c r="B281" i="10"/>
  <c r="F281" i="10" s="1"/>
  <c r="C281" i="10"/>
  <c r="P281" i="10" s="1"/>
  <c r="B282" i="10"/>
  <c r="F282" i="10" s="1"/>
  <c r="C282" i="10"/>
  <c r="B283" i="10"/>
  <c r="H283" i="10" s="1"/>
  <c r="C283" i="10"/>
  <c r="P283" i="10" s="1"/>
  <c r="B284" i="10"/>
  <c r="L284" i="10" s="1"/>
  <c r="C284" i="10"/>
  <c r="I284" i="10" s="1"/>
  <c r="B285" i="10"/>
  <c r="C285" i="10"/>
  <c r="B286" i="10"/>
  <c r="H286" i="10" s="1"/>
  <c r="C286" i="10"/>
  <c r="B287" i="10"/>
  <c r="K287" i="10" s="1"/>
  <c r="C287" i="10"/>
  <c r="P287" i="10" s="1"/>
  <c r="B288" i="10"/>
  <c r="C288" i="10"/>
  <c r="I288" i="10" s="1"/>
  <c r="B289" i="10"/>
  <c r="K289" i="10" s="1"/>
  <c r="C289" i="10"/>
  <c r="B290" i="10"/>
  <c r="E290" i="10" s="1"/>
  <c r="C290" i="10"/>
  <c r="B291" i="10"/>
  <c r="E291" i="10" s="1"/>
  <c r="C291" i="10"/>
  <c r="B292" i="10"/>
  <c r="F292" i="10" s="1"/>
  <c r="C292" i="10"/>
  <c r="P292" i="10" s="1"/>
  <c r="B293" i="10"/>
  <c r="H293" i="10" s="1"/>
  <c r="C293" i="10"/>
  <c r="B294" i="10"/>
  <c r="E294" i="10" s="1"/>
  <c r="C294" i="10"/>
  <c r="B295" i="10"/>
  <c r="E295" i="10" s="1"/>
  <c r="C295" i="10"/>
  <c r="P295" i="10" s="1"/>
  <c r="B296" i="10"/>
  <c r="E296" i="10" s="1"/>
  <c r="C296" i="10"/>
  <c r="I296" i="10" s="1"/>
  <c r="B297" i="10"/>
  <c r="L297" i="10" s="1"/>
  <c r="C297" i="10"/>
  <c r="P297" i="10" s="1"/>
  <c r="B298" i="10"/>
  <c r="E298" i="10" s="1"/>
  <c r="C298" i="10"/>
  <c r="P298" i="10" s="1"/>
  <c r="B299" i="10"/>
  <c r="F299" i="10" s="1"/>
  <c r="C299" i="10"/>
  <c r="B300" i="10"/>
  <c r="E300" i="10" s="1"/>
  <c r="C300" i="10"/>
  <c r="I300" i="10" s="1"/>
  <c r="B301" i="10"/>
  <c r="E301" i="10" s="1"/>
  <c r="C301" i="10"/>
  <c r="B302" i="10"/>
  <c r="F302" i="10" s="1"/>
  <c r="C302" i="10"/>
  <c r="B303" i="10"/>
  <c r="H303" i="10" s="1"/>
  <c r="C303" i="10"/>
  <c r="B304" i="10"/>
  <c r="H304" i="10" s="1"/>
  <c r="C304" i="10"/>
  <c r="I304" i="10" s="1"/>
  <c r="B305" i="10"/>
  <c r="F305" i="10" s="1"/>
  <c r="C305" i="10"/>
  <c r="P305" i="10" s="1"/>
  <c r="B306" i="10"/>
  <c r="L306" i="10" s="1"/>
  <c r="C306" i="10"/>
  <c r="B307" i="10"/>
  <c r="E307" i="10" s="1"/>
  <c r="C307" i="10"/>
  <c r="P307" i="10" s="1"/>
  <c r="B308" i="10"/>
  <c r="H308" i="10" s="1"/>
  <c r="C308" i="10"/>
  <c r="I308" i="10" s="1"/>
  <c r="B309" i="10"/>
  <c r="K309" i="10" s="1"/>
  <c r="C309" i="10"/>
  <c r="B310" i="10"/>
  <c r="E310" i="10" s="1"/>
  <c r="C310" i="10"/>
  <c r="B311" i="10"/>
  <c r="K311" i="10" s="1"/>
  <c r="C311" i="10"/>
  <c r="B312" i="10"/>
  <c r="K312" i="10" s="1"/>
  <c r="C312" i="10"/>
  <c r="I312" i="10" s="1"/>
  <c r="B313" i="10"/>
  <c r="E313" i="10" s="1"/>
  <c r="C313" i="10"/>
  <c r="P313" i="10" s="1"/>
  <c r="B314" i="10"/>
  <c r="L314" i="10" s="1"/>
  <c r="C314" i="10"/>
  <c r="B315" i="10"/>
  <c r="H315" i="10" s="1"/>
  <c r="C315" i="10"/>
  <c r="B316" i="10"/>
  <c r="F316" i="10" s="1"/>
  <c r="C316" i="10"/>
  <c r="I316" i="10" s="1"/>
  <c r="B317" i="10"/>
  <c r="C317" i="10"/>
  <c r="B318" i="10"/>
  <c r="C318" i="10"/>
  <c r="B319" i="10"/>
  <c r="E319" i="10" s="1"/>
  <c r="C319" i="10"/>
  <c r="B320" i="10"/>
  <c r="E320" i="10" s="1"/>
  <c r="C320" i="10"/>
  <c r="I320" i="10" s="1"/>
  <c r="B321" i="10"/>
  <c r="K321" i="10" s="1"/>
  <c r="C321" i="10"/>
  <c r="P321" i="10" s="1"/>
  <c r="B322" i="10"/>
  <c r="L322" i="10" s="1"/>
  <c r="C322" i="10"/>
  <c r="B323" i="10"/>
  <c r="L323" i="10" s="1"/>
  <c r="C323" i="10"/>
  <c r="B324" i="10"/>
  <c r="L324" i="10" s="1"/>
  <c r="C324" i="10"/>
  <c r="P324" i="10" s="1"/>
  <c r="B325" i="10"/>
  <c r="K325" i="10" s="1"/>
  <c r="C325" i="10"/>
  <c r="B326" i="10"/>
  <c r="C326" i="10"/>
  <c r="B327" i="10"/>
  <c r="E327" i="10" s="1"/>
  <c r="C327" i="10"/>
  <c r="P327" i="10" s="1"/>
  <c r="B328" i="10"/>
  <c r="F328" i="10" s="1"/>
  <c r="C328" i="10"/>
  <c r="I328" i="10" s="1"/>
  <c r="B329" i="10"/>
  <c r="C329" i="10"/>
  <c r="P329" i="10" s="1"/>
  <c r="B330" i="10"/>
  <c r="L330" i="10" s="1"/>
  <c r="C330" i="10"/>
  <c r="B331" i="10"/>
  <c r="H331" i="10" s="1"/>
  <c r="C331" i="10"/>
  <c r="B332" i="10"/>
  <c r="F332" i="10" s="1"/>
  <c r="C332" i="10"/>
  <c r="P332" i="10" s="1"/>
  <c r="B333" i="10"/>
  <c r="L333" i="10" s="1"/>
  <c r="C333" i="10"/>
  <c r="B334" i="10"/>
  <c r="F334" i="10" s="1"/>
  <c r="C334" i="10"/>
  <c r="B335" i="10"/>
  <c r="K335" i="10" s="1"/>
  <c r="C335" i="10"/>
  <c r="P335" i="10" s="1"/>
  <c r="B336" i="10"/>
  <c r="L336" i="10" s="1"/>
  <c r="C336" i="10"/>
  <c r="I336" i="10" s="1"/>
  <c r="B337" i="10"/>
  <c r="C337" i="10"/>
  <c r="P337" i="10" s="1"/>
  <c r="B338" i="10"/>
  <c r="L338" i="10" s="1"/>
  <c r="C338" i="10"/>
  <c r="B339" i="10"/>
  <c r="H339" i="10" s="1"/>
  <c r="C339" i="10"/>
  <c r="B340" i="10"/>
  <c r="F340" i="10" s="1"/>
  <c r="C340" i="10"/>
  <c r="P340" i="10" s="1"/>
  <c r="B341" i="10"/>
  <c r="L341" i="10" s="1"/>
  <c r="C341" i="10"/>
  <c r="B342" i="10"/>
  <c r="F342" i="10" s="1"/>
  <c r="C342" i="10"/>
  <c r="B343" i="10"/>
  <c r="K343" i="10" s="1"/>
  <c r="C343" i="10"/>
  <c r="P343" i="10" s="1"/>
  <c r="B344" i="10"/>
  <c r="L344" i="10" s="1"/>
  <c r="C344" i="10"/>
  <c r="I344" i="10" s="1"/>
  <c r="B345" i="10"/>
  <c r="C345" i="10"/>
  <c r="P345" i="10" s="1"/>
  <c r="B346" i="10"/>
  <c r="L346" i="10" s="1"/>
  <c r="C346" i="10"/>
  <c r="B347" i="10"/>
  <c r="H347" i="10" s="1"/>
  <c r="C347" i="10"/>
  <c r="P347" i="10" s="1"/>
  <c r="B348" i="10"/>
  <c r="F348" i="10" s="1"/>
  <c r="C348" i="10"/>
  <c r="P348" i="10" s="1"/>
  <c r="B349" i="10"/>
  <c r="E349" i="10" s="1"/>
  <c r="C349" i="10"/>
  <c r="P349" i="10" s="1"/>
  <c r="B350" i="10"/>
  <c r="F350" i="10" s="1"/>
  <c r="C350" i="10"/>
  <c r="B351" i="10"/>
  <c r="K351" i="10" s="1"/>
  <c r="C351" i="10"/>
  <c r="B352" i="10"/>
  <c r="L352" i="10" s="1"/>
  <c r="C352" i="10"/>
  <c r="I352" i="10" s="1"/>
  <c r="B353" i="10"/>
  <c r="F353" i="10" s="1"/>
  <c r="C353" i="10"/>
  <c r="P353" i="10" s="1"/>
  <c r="B354" i="10"/>
  <c r="C354" i="10"/>
  <c r="B355" i="10"/>
  <c r="C355" i="10"/>
  <c r="B356" i="10"/>
  <c r="C356" i="10"/>
  <c r="P356" i="10" s="1"/>
  <c r="B357" i="10"/>
  <c r="H357" i="10" s="1"/>
  <c r="C357" i="10"/>
  <c r="B358" i="10"/>
  <c r="H358" i="10" s="1"/>
  <c r="C358" i="10"/>
  <c r="B359" i="10"/>
  <c r="E359" i="10" s="1"/>
  <c r="C359" i="10"/>
  <c r="B360" i="10"/>
  <c r="F360" i="10" s="1"/>
  <c r="C360" i="10"/>
  <c r="I360" i="10" s="1"/>
  <c r="B361" i="10"/>
  <c r="F361" i="10" s="1"/>
  <c r="C361" i="10"/>
  <c r="P361" i="10" s="1"/>
  <c r="B362" i="10"/>
  <c r="H362" i="10" s="1"/>
  <c r="C362" i="10"/>
  <c r="B363" i="10"/>
  <c r="H363" i="10" s="1"/>
  <c r="C363" i="10"/>
  <c r="B364" i="10"/>
  <c r="F364" i="10" s="1"/>
  <c r="C364" i="10"/>
  <c r="I364" i="10" s="1"/>
  <c r="B365" i="10"/>
  <c r="C365" i="10"/>
  <c r="B366" i="10"/>
  <c r="C366" i="10"/>
  <c r="B367" i="10"/>
  <c r="C367" i="10"/>
  <c r="P367" i="10" s="1"/>
  <c r="B368" i="10"/>
  <c r="L368" i="10" s="1"/>
  <c r="C368" i="10"/>
  <c r="I368" i="10" s="1"/>
  <c r="B369" i="10"/>
  <c r="C369" i="10"/>
  <c r="P369" i="10" s="1"/>
  <c r="B370" i="10"/>
  <c r="C370" i="10"/>
  <c r="B371" i="10"/>
  <c r="H371" i="10" s="1"/>
  <c r="C371" i="10"/>
  <c r="B372" i="10"/>
  <c r="F372" i="10" s="1"/>
  <c r="C372" i="10"/>
  <c r="I372" i="10" s="1"/>
  <c r="B373" i="10"/>
  <c r="C373" i="10"/>
  <c r="B374" i="10"/>
  <c r="H374" i="10" s="1"/>
  <c r="C374" i="10"/>
  <c r="B375" i="10"/>
  <c r="H375" i="10" s="1"/>
  <c r="C375" i="10"/>
  <c r="P375" i="10" s="1"/>
  <c r="B376" i="10"/>
  <c r="L376" i="10" s="1"/>
  <c r="C376" i="10"/>
  <c r="I376" i="10" s="1"/>
  <c r="B377" i="10"/>
  <c r="F377" i="10" s="1"/>
  <c r="C377" i="10"/>
  <c r="P377" i="10" s="1"/>
  <c r="B378" i="10"/>
  <c r="H378" i="10" s="1"/>
  <c r="C378" i="10"/>
  <c r="B379" i="10"/>
  <c r="H379" i="10" s="1"/>
  <c r="C379" i="10"/>
  <c r="B380" i="10"/>
  <c r="F380" i="10" s="1"/>
  <c r="C380" i="10"/>
  <c r="I380" i="10" s="1"/>
  <c r="B381" i="10"/>
  <c r="K381" i="10" s="1"/>
  <c r="C381" i="10"/>
  <c r="P381" i="10" s="1"/>
  <c r="B382" i="10"/>
  <c r="C382" i="10"/>
  <c r="B383" i="10"/>
  <c r="E383" i="10" s="1"/>
  <c r="C383" i="10"/>
  <c r="P383" i="10" s="1"/>
  <c r="B384" i="10"/>
  <c r="E384" i="10" s="1"/>
  <c r="C384" i="10"/>
  <c r="I384" i="10" s="1"/>
  <c r="B385" i="10"/>
  <c r="F385" i="10" s="1"/>
  <c r="C385" i="10"/>
  <c r="P385" i="10" s="1"/>
  <c r="B386" i="10"/>
  <c r="C386" i="10"/>
  <c r="B387" i="10"/>
  <c r="C387" i="10"/>
  <c r="B388" i="10"/>
  <c r="F388" i="10" s="1"/>
  <c r="C388" i="10"/>
  <c r="B389" i="10"/>
  <c r="E389" i="10" s="1"/>
  <c r="C389" i="10"/>
  <c r="B390" i="10"/>
  <c r="H390" i="10" s="1"/>
  <c r="C390" i="10"/>
  <c r="B391" i="10"/>
  <c r="H391" i="10" s="1"/>
  <c r="C391" i="10"/>
  <c r="P391" i="10" s="1"/>
  <c r="B392" i="10"/>
  <c r="L392" i="10" s="1"/>
  <c r="C392" i="10"/>
  <c r="I392" i="10" s="1"/>
  <c r="B393" i="10"/>
  <c r="F393" i="10" s="1"/>
  <c r="C393" i="10"/>
  <c r="P393" i="10" s="1"/>
  <c r="B394" i="10"/>
  <c r="H394" i="10" s="1"/>
  <c r="C394" i="10"/>
  <c r="B395" i="10"/>
  <c r="C395" i="10"/>
  <c r="P395" i="10" s="1"/>
  <c r="B396" i="10"/>
  <c r="K396" i="10" s="1"/>
  <c r="C396" i="10"/>
  <c r="I396" i="10" s="1"/>
  <c r="B397" i="10"/>
  <c r="E397" i="10" s="1"/>
  <c r="C397" i="10"/>
  <c r="P397" i="10" s="1"/>
  <c r="B398" i="10"/>
  <c r="H398" i="10" s="1"/>
  <c r="C398" i="10"/>
  <c r="B399" i="10"/>
  <c r="H399" i="10" s="1"/>
  <c r="C399" i="10"/>
  <c r="P399" i="10" s="1"/>
  <c r="B400" i="10"/>
  <c r="L400" i="10" s="1"/>
  <c r="C400" i="10"/>
  <c r="I400" i="10" s="1"/>
  <c r="B401" i="10"/>
  <c r="K401" i="10" s="1"/>
  <c r="C401" i="10"/>
  <c r="B402" i="10"/>
  <c r="C402" i="10"/>
  <c r="P402" i="10" s="1"/>
  <c r="B403" i="10"/>
  <c r="C403" i="10"/>
  <c r="P403" i="10" s="1"/>
  <c r="B404" i="10"/>
  <c r="K404" i="10" s="1"/>
  <c r="C404" i="10"/>
  <c r="P404" i="10" s="1"/>
  <c r="B405" i="10"/>
  <c r="K405" i="10" s="1"/>
  <c r="C405" i="10"/>
  <c r="B406" i="10"/>
  <c r="H406" i="10" s="1"/>
  <c r="C406" i="10"/>
  <c r="B407" i="10"/>
  <c r="H407" i="10" s="1"/>
  <c r="C407" i="10"/>
  <c r="P407" i="10" s="1"/>
  <c r="B408" i="10"/>
  <c r="K408" i="10" s="1"/>
  <c r="C408" i="10"/>
  <c r="I408" i="10" s="1"/>
  <c r="B409" i="10"/>
  <c r="K409" i="10" s="1"/>
  <c r="C409" i="10"/>
  <c r="B410" i="10"/>
  <c r="C410" i="10"/>
  <c r="B411" i="10"/>
  <c r="C411" i="10"/>
  <c r="P411" i="10" s="1"/>
  <c r="B412" i="10"/>
  <c r="K412" i="10" s="1"/>
  <c r="C412" i="10"/>
  <c r="I412" i="10" s="1"/>
  <c r="B413" i="10"/>
  <c r="F413" i="10" s="1"/>
  <c r="C413" i="10"/>
  <c r="I413" i="10" s="1"/>
  <c r="B414" i="10"/>
  <c r="H414" i="10" s="1"/>
  <c r="C414" i="10"/>
  <c r="I414" i="10" s="1"/>
  <c r="B415" i="10"/>
  <c r="F415" i="10" s="1"/>
  <c r="C415" i="10"/>
  <c r="P415" i="10" s="1"/>
  <c r="B416" i="10"/>
  <c r="L416" i="10" s="1"/>
  <c r="C416" i="10"/>
  <c r="B417" i="10"/>
  <c r="K417" i="10" s="1"/>
  <c r="C417" i="10"/>
  <c r="B418" i="10"/>
  <c r="C418" i="10"/>
  <c r="I418" i="10" s="1"/>
  <c r="B419" i="10"/>
  <c r="C419" i="10"/>
  <c r="B420" i="10"/>
  <c r="K420" i="10" s="1"/>
  <c r="C420" i="10"/>
  <c r="B421" i="10"/>
  <c r="E421" i="10" s="1"/>
  <c r="C421" i="10"/>
  <c r="B422" i="10"/>
  <c r="H422" i="10" s="1"/>
  <c r="C422" i="10"/>
  <c r="I422" i="10" s="1"/>
  <c r="B423" i="10"/>
  <c r="E423" i="10" s="1"/>
  <c r="C423" i="10"/>
  <c r="P423" i="10" s="1"/>
  <c r="B424" i="10"/>
  <c r="C424" i="10"/>
  <c r="I424" i="10" s="1"/>
  <c r="B425" i="10"/>
  <c r="K425" i="10" s="1"/>
  <c r="C425" i="10"/>
  <c r="B426" i="10"/>
  <c r="H426" i="10" s="1"/>
  <c r="C426" i="10"/>
  <c r="I426" i="10" s="1"/>
  <c r="B427" i="10"/>
  <c r="F427" i="10" s="1"/>
  <c r="C427" i="10"/>
  <c r="B428" i="10"/>
  <c r="K428" i="10" s="1"/>
  <c r="C428" i="10"/>
  <c r="B429" i="10"/>
  <c r="H429" i="10" s="1"/>
  <c r="C429" i="10"/>
  <c r="I429" i="10" s="1"/>
  <c r="B430" i="10"/>
  <c r="H430" i="10" s="1"/>
  <c r="C430" i="10"/>
  <c r="I430" i="10" s="1"/>
  <c r="B431" i="10"/>
  <c r="E431" i="10" s="1"/>
  <c r="C431" i="10"/>
  <c r="P431" i="10" s="1"/>
  <c r="B432" i="10"/>
  <c r="C432" i="10"/>
  <c r="I432" i="10" s="1"/>
  <c r="B433" i="10"/>
  <c r="K433" i="10" s="1"/>
  <c r="C433" i="10"/>
  <c r="B434" i="10"/>
  <c r="F434" i="10" s="1"/>
  <c r="C434" i="10"/>
  <c r="I434" i="10" s="1"/>
  <c r="B435" i="10"/>
  <c r="F435" i="10" s="1"/>
  <c r="C435" i="10"/>
  <c r="P435" i="10" s="1"/>
  <c r="B436" i="10"/>
  <c r="K436" i="10" s="1"/>
  <c r="C436" i="10"/>
  <c r="P436" i="10" s="1"/>
  <c r="B437" i="10"/>
  <c r="C437" i="10"/>
  <c r="I437" i="10" s="1"/>
  <c r="B438" i="10"/>
  <c r="L438" i="10" s="1"/>
  <c r="C438" i="10"/>
  <c r="I438" i="10" s="1"/>
  <c r="B439" i="10"/>
  <c r="L439" i="10" s="1"/>
  <c r="C439" i="10"/>
  <c r="P439" i="10" s="1"/>
  <c r="B440" i="10"/>
  <c r="L440" i="10" s="1"/>
  <c r="C440" i="10"/>
  <c r="I440" i="10" s="1"/>
  <c r="B441" i="10"/>
  <c r="F441" i="10" s="1"/>
  <c r="C441" i="10"/>
  <c r="B442" i="10"/>
  <c r="C442" i="10"/>
  <c r="I442" i="10" s="1"/>
  <c r="B443" i="10"/>
  <c r="E443" i="10" s="1"/>
  <c r="C443" i="10"/>
  <c r="P443" i="10" s="1"/>
  <c r="B444" i="10"/>
  <c r="L444" i="10" s="1"/>
  <c r="C444" i="10"/>
  <c r="P444" i="10" s="1"/>
  <c r="B445" i="10"/>
  <c r="K445" i="10" s="1"/>
  <c r="C445" i="10"/>
  <c r="I445" i="10" s="1"/>
  <c r="B446" i="10"/>
  <c r="H446" i="10" s="1"/>
  <c r="C446" i="10"/>
  <c r="I446" i="10" s="1"/>
  <c r="B447" i="10"/>
  <c r="E447" i="10" s="1"/>
  <c r="C447" i="10"/>
  <c r="P447" i="10" s="1"/>
  <c r="B448" i="10"/>
  <c r="K448" i="10" s="1"/>
  <c r="C448" i="10"/>
  <c r="I448" i="10" s="1"/>
  <c r="B449" i="10"/>
  <c r="F449" i="10" s="1"/>
  <c r="C449" i="10"/>
  <c r="B450" i="10"/>
  <c r="K450" i="10" s="1"/>
  <c r="C450" i="10"/>
  <c r="P450" i="10" s="1"/>
  <c r="Y419" i="10" l="1"/>
  <c r="Y415" i="10"/>
  <c r="Y411" i="10"/>
  <c r="Y407" i="10"/>
  <c r="Y403" i="10"/>
  <c r="Y399" i="10"/>
  <c r="Y395" i="10"/>
  <c r="AD395" i="10" s="1"/>
  <c r="AE395" i="10" s="1"/>
  <c r="Y387" i="10"/>
  <c r="Y383" i="10"/>
  <c r="Y379" i="10"/>
  <c r="Y367" i="10"/>
  <c r="Y355" i="10"/>
  <c r="Y347" i="10"/>
  <c r="Y343" i="10"/>
  <c r="Y339" i="10"/>
  <c r="AD339" i="10" s="1"/>
  <c r="AE339" i="10" s="1"/>
  <c r="Y335" i="10"/>
  <c r="Y331" i="10"/>
  <c r="Y327" i="10"/>
  <c r="Y323" i="10"/>
  <c r="Y319" i="10"/>
  <c r="Y315" i="10"/>
  <c r="Y295" i="10"/>
  <c r="Y287" i="10"/>
  <c r="I262" i="10"/>
  <c r="I258" i="10"/>
  <c r="I254" i="10"/>
  <c r="I250" i="10"/>
  <c r="I242" i="10"/>
  <c r="I238" i="10"/>
  <c r="I230" i="10"/>
  <c r="Y414" i="10"/>
  <c r="Y410" i="10"/>
  <c r="Y406" i="10"/>
  <c r="Y398" i="10"/>
  <c r="Y290" i="10"/>
  <c r="Y282" i="10"/>
  <c r="Y278" i="10"/>
  <c r="Y274" i="10"/>
  <c r="Y266" i="10"/>
  <c r="Y250" i="10"/>
  <c r="Y405" i="10"/>
  <c r="Y389" i="10"/>
  <c r="Y381" i="10"/>
  <c r="Y365" i="10"/>
  <c r="Y341" i="10"/>
  <c r="Y333" i="10"/>
  <c r="Y325" i="10"/>
  <c r="Y317" i="10"/>
  <c r="Y313" i="10"/>
  <c r="Y301" i="10"/>
  <c r="Y289" i="10"/>
  <c r="Y285" i="10"/>
  <c r="Y281" i="10"/>
  <c r="Y257" i="10"/>
  <c r="Y253" i="10"/>
  <c r="Y390" i="10"/>
  <c r="Y386" i="10"/>
  <c r="Y378" i="10"/>
  <c r="Y374" i="10"/>
  <c r="Y366" i="10"/>
  <c r="Y362" i="10"/>
  <c r="Y350" i="10"/>
  <c r="Y346" i="10"/>
  <c r="Y342" i="10"/>
  <c r="Y338" i="10"/>
  <c r="Y326" i="10"/>
  <c r="Y322" i="10"/>
  <c r="Y318" i="10"/>
  <c r="Y310" i="10"/>
  <c r="Y306" i="10"/>
  <c r="I405" i="10"/>
  <c r="I389" i="10"/>
  <c r="I373" i="10"/>
  <c r="I365" i="10"/>
  <c r="I341" i="10"/>
  <c r="I333" i="10"/>
  <c r="I325" i="10"/>
  <c r="I317" i="10"/>
  <c r="I309" i="10"/>
  <c r="I301" i="10"/>
  <c r="I293" i="10"/>
  <c r="I285" i="10"/>
  <c r="I253" i="10"/>
  <c r="I245" i="10"/>
  <c r="I225" i="10"/>
  <c r="I387" i="10"/>
  <c r="I379" i="10"/>
  <c r="N379" i="10" s="1"/>
  <c r="I371" i="10"/>
  <c r="I363" i="10"/>
  <c r="I355" i="10"/>
  <c r="I331" i="10"/>
  <c r="I323" i="10"/>
  <c r="I319" i="10"/>
  <c r="I315" i="10"/>
  <c r="I311" i="10"/>
  <c r="I303" i="10"/>
  <c r="I299" i="10"/>
  <c r="I279" i="10"/>
  <c r="I275" i="10"/>
  <c r="I263" i="10"/>
  <c r="I255" i="10"/>
  <c r="I247" i="10"/>
  <c r="I239" i="10"/>
  <c r="I231" i="10"/>
  <c r="I227" i="10"/>
  <c r="I410" i="10"/>
  <c r="I406" i="10"/>
  <c r="I394" i="10"/>
  <c r="I378" i="10"/>
  <c r="N378" i="10" s="1"/>
  <c r="I370" i="10"/>
  <c r="I346" i="10"/>
  <c r="I338" i="10"/>
  <c r="I330" i="10"/>
  <c r="I322" i="10"/>
  <c r="I318" i="10"/>
  <c r="I310" i="10"/>
  <c r="I306" i="10"/>
  <c r="I302" i="10"/>
  <c r="I294" i="10"/>
  <c r="I290" i="10"/>
  <c r="I286" i="10"/>
  <c r="I282" i="10"/>
  <c r="I278" i="10"/>
  <c r="I274" i="10"/>
  <c r="I221" i="10"/>
  <c r="Y246" i="10"/>
  <c r="I223" i="10"/>
  <c r="I222" i="10"/>
  <c r="Y236" i="10"/>
  <c r="Y241" i="10"/>
  <c r="Y244" i="10"/>
  <c r="Y240" i="10"/>
  <c r="Y242" i="10"/>
  <c r="Y237" i="10"/>
  <c r="I215" i="10"/>
  <c r="I214" i="10"/>
  <c r="Y233" i="10"/>
  <c r="Y234" i="10"/>
  <c r="Y232" i="10"/>
  <c r="Y228" i="10"/>
  <c r="AD228" i="10" s="1"/>
  <c r="Y220" i="10"/>
  <c r="AD220" i="10" s="1"/>
  <c r="Y229" i="10"/>
  <c r="Y221" i="10"/>
  <c r="Y230" i="10"/>
  <c r="Y226" i="10"/>
  <c r="I209" i="10"/>
  <c r="I205" i="10"/>
  <c r="Y212" i="10"/>
  <c r="Y208" i="10"/>
  <c r="AD208" i="10" s="1"/>
  <c r="Y209" i="10"/>
  <c r="Y201" i="10"/>
  <c r="Y211" i="10"/>
  <c r="Y214" i="10"/>
  <c r="Y206" i="10"/>
  <c r="H383" i="10"/>
  <c r="Y270" i="10"/>
  <c r="V309" i="10"/>
  <c r="AA371" i="10"/>
  <c r="P412" i="10"/>
  <c r="F209" i="10"/>
  <c r="P380" i="10"/>
  <c r="E331" i="10"/>
  <c r="K297" i="10"/>
  <c r="H312" i="10"/>
  <c r="N312" i="10" s="1"/>
  <c r="L315" i="10"/>
  <c r="K202" i="10"/>
  <c r="AF389" i="10"/>
  <c r="P333" i="10"/>
  <c r="P280" i="10"/>
  <c r="I305" i="10"/>
  <c r="AA233" i="10"/>
  <c r="AB309" i="10"/>
  <c r="X298" i="10"/>
  <c r="AB371" i="10"/>
  <c r="V244" i="10"/>
  <c r="Y225" i="10"/>
  <c r="Y324" i="10"/>
  <c r="L372" i="10"/>
  <c r="H416" i="10"/>
  <c r="P360" i="10"/>
  <c r="P253" i="10"/>
  <c r="K423" i="10"/>
  <c r="L340" i="10"/>
  <c r="E226" i="10"/>
  <c r="U273" i="10"/>
  <c r="P400" i="10"/>
  <c r="H381" i="10"/>
  <c r="E340" i="10"/>
  <c r="I233" i="10"/>
  <c r="K218" i="10"/>
  <c r="I207" i="10"/>
  <c r="K200" i="10"/>
  <c r="F381" i="10"/>
  <c r="I244" i="10"/>
  <c r="V345" i="10"/>
  <c r="K439" i="10"/>
  <c r="H392" i="10"/>
  <c r="N392" i="10" s="1"/>
  <c r="E435" i="10"/>
  <c r="L381" i="10"/>
  <c r="E372" i="10"/>
  <c r="I298" i="10"/>
  <c r="P284" i="10"/>
  <c r="I241" i="10"/>
  <c r="K257" i="10"/>
  <c r="I356" i="10"/>
  <c r="I444" i="10"/>
  <c r="I397" i="10"/>
  <c r="L390" i="10"/>
  <c r="I348" i="10"/>
  <c r="F297" i="10"/>
  <c r="K267" i="10"/>
  <c r="P221" i="10"/>
  <c r="L447" i="10"/>
  <c r="L433" i="10"/>
  <c r="L249" i="10"/>
  <c r="P227" i="10"/>
  <c r="H292" i="10"/>
  <c r="H421" i="10"/>
  <c r="P370" i="10"/>
  <c r="P317" i="10"/>
  <c r="P308" i="10"/>
  <c r="F296" i="10"/>
  <c r="E214" i="10"/>
  <c r="L446" i="10"/>
  <c r="I443" i="10"/>
  <c r="I436" i="10"/>
  <c r="P394" i="10"/>
  <c r="K388" i="10"/>
  <c r="F352" i="10"/>
  <c r="K349" i="10"/>
  <c r="L343" i="10"/>
  <c r="H334" i="10"/>
  <c r="I324" i="10"/>
  <c r="F301" i="10"/>
  <c r="K292" i="10"/>
  <c r="P275" i="10"/>
  <c r="F268" i="10"/>
  <c r="E266" i="10"/>
  <c r="L220" i="10"/>
  <c r="I203" i="10"/>
  <c r="V402" i="10"/>
  <c r="AF328" i="10"/>
  <c r="AF313" i="10"/>
  <c r="AA307" i="10"/>
  <c r="U278" i="10"/>
  <c r="Y238" i="10"/>
  <c r="V231" i="10"/>
  <c r="U228" i="10"/>
  <c r="Y222" i="10"/>
  <c r="AF215" i="10"/>
  <c r="H450" i="10"/>
  <c r="K447" i="10"/>
  <c r="P422" i="10"/>
  <c r="E416" i="10"/>
  <c r="I399" i="10"/>
  <c r="N399" i="10" s="1"/>
  <c r="F383" i="10"/>
  <c r="E381" i="10"/>
  <c r="F267" i="10"/>
  <c r="P255" i="10"/>
  <c r="K249" i="10"/>
  <c r="I246" i="10"/>
  <c r="H202" i="10"/>
  <c r="U371" i="10"/>
  <c r="U298" i="10"/>
  <c r="E264" i="10"/>
  <c r="X337" i="10"/>
  <c r="AB311" i="10"/>
  <c r="AA290" i="10"/>
  <c r="AB257" i="10"/>
  <c r="U229" i="10"/>
  <c r="AA226" i="10"/>
  <c r="U220" i="10"/>
  <c r="H447" i="10"/>
  <c r="E344" i="10"/>
  <c r="K341" i="10"/>
  <c r="E267" i="10"/>
  <c r="F202" i="10"/>
  <c r="H434" i="10"/>
  <c r="N434" i="10" s="1"/>
  <c r="I431" i="10"/>
  <c r="P418" i="10"/>
  <c r="E408" i="10"/>
  <c r="F405" i="10"/>
  <c r="E392" i="10"/>
  <c r="I347" i="10"/>
  <c r="N347" i="10" s="1"/>
  <c r="F341" i="10"/>
  <c r="K315" i="10"/>
  <c r="F312" i="10"/>
  <c r="K296" i="10"/>
  <c r="P290" i="10"/>
  <c r="I260" i="10"/>
  <c r="H257" i="10"/>
  <c r="F218" i="10"/>
  <c r="X392" i="10"/>
  <c r="AD392" i="10" s="1"/>
  <c r="AE392" i="10" s="1"/>
  <c r="AF340" i="10"/>
  <c r="U249" i="10"/>
  <c r="E341" i="10"/>
  <c r="AB406" i="10"/>
  <c r="U395" i="10"/>
  <c r="AB358" i="10"/>
  <c r="AB278" i="10"/>
  <c r="E271" i="10"/>
  <c r="H224" i="10"/>
  <c r="K221" i="10"/>
  <c r="E219" i="10"/>
  <c r="H217" i="10"/>
  <c r="F450" i="10"/>
  <c r="E446" i="10"/>
  <c r="E444" i="10"/>
  <c r="F423" i="10"/>
  <c r="F421" i="10"/>
  <c r="F416" i="10"/>
  <c r="I395" i="10"/>
  <c r="K392" i="10"/>
  <c r="E388" i="10"/>
  <c r="K372" i="10"/>
  <c r="I367" i="10"/>
  <c r="H341" i="10"/>
  <c r="P331" i="10"/>
  <c r="P315" i="10"/>
  <c r="H301" i="10"/>
  <c r="N301" i="10" s="1"/>
  <c r="P268" i="10"/>
  <c r="L257" i="10"/>
  <c r="I229" i="10"/>
  <c r="L226" i="10"/>
  <c r="K214" i="10"/>
  <c r="L202" i="10"/>
  <c r="U416" i="10"/>
  <c r="U410" i="10"/>
  <c r="Y353" i="10"/>
  <c r="U350" i="10"/>
  <c r="AF347" i="10"/>
  <c r="AF335" i="10"/>
  <c r="AA309" i="10"/>
  <c r="X287" i="10"/>
  <c r="AA253" i="10"/>
  <c r="Y203" i="10"/>
  <c r="U200" i="10"/>
  <c r="AF399" i="10"/>
  <c r="Y375" i="10"/>
  <c r="Y277" i="10"/>
  <c r="Y256" i="10"/>
  <c r="AD256" i="10" s="1"/>
  <c r="AE256" i="10" s="1"/>
  <c r="L303" i="10"/>
  <c r="L287" i="10"/>
  <c r="K270" i="10"/>
  <c r="L203" i="10"/>
  <c r="K205" i="10"/>
  <c r="I202" i="10"/>
  <c r="L449" i="10"/>
  <c r="E363" i="10"/>
  <c r="F320" i="10"/>
  <c r="AA415" i="10"/>
  <c r="V392" i="10"/>
  <c r="AF362" i="10"/>
  <c r="V349" i="10"/>
  <c r="X330" i="10"/>
  <c r="AF208" i="10"/>
  <c r="L320" i="10"/>
  <c r="H445" i="10"/>
  <c r="N445" i="10" s="1"/>
  <c r="P389" i="10"/>
  <c r="K376" i="10"/>
  <c r="P373" i="10"/>
  <c r="P338" i="10"/>
  <c r="F335" i="10"/>
  <c r="F333" i="10"/>
  <c r="E237" i="10"/>
  <c r="H205" i="10"/>
  <c r="K449" i="10"/>
  <c r="P430" i="10"/>
  <c r="P424" i="10"/>
  <c r="P405" i="10"/>
  <c r="H368" i="10"/>
  <c r="N368" i="10" s="1"/>
  <c r="K344" i="10"/>
  <c r="P278" i="10"/>
  <c r="L251" i="10"/>
  <c r="P230" i="10"/>
  <c r="E218" i="10"/>
  <c r="L215" i="10"/>
  <c r="F205" i="10"/>
  <c r="H203" i="10"/>
  <c r="X374" i="10"/>
  <c r="AD374" i="10" s="1"/>
  <c r="AE374" i="10" s="1"/>
  <c r="AF365" i="10"/>
  <c r="V362" i="10"/>
  <c r="V336" i="10"/>
  <c r="V330" i="10"/>
  <c r="AF310" i="10"/>
  <c r="Y292" i="10"/>
  <c r="V245" i="10"/>
  <c r="V233" i="10"/>
  <c r="AF211" i="10"/>
  <c r="F399" i="10"/>
  <c r="P378" i="10"/>
  <c r="H344" i="10"/>
  <c r="N344" i="10" s="1"/>
  <c r="I297" i="10"/>
  <c r="F295" i="10"/>
  <c r="I292" i="10"/>
  <c r="H271" i="10"/>
  <c r="P256" i="10"/>
  <c r="P209" i="10"/>
  <c r="V388" i="10"/>
  <c r="U330" i="10"/>
  <c r="U281" i="10"/>
  <c r="AA261" i="10"/>
  <c r="V235" i="10"/>
  <c r="X224" i="10"/>
  <c r="AB214" i="10"/>
  <c r="X198" i="10"/>
  <c r="E368" i="10"/>
  <c r="P365" i="10"/>
  <c r="F251" i="10"/>
  <c r="F233" i="10"/>
  <c r="L219" i="10"/>
  <c r="E205" i="10"/>
  <c r="AA394" i="10"/>
  <c r="Y371" i="10"/>
  <c r="AD371" i="10" s="1"/>
  <c r="AE371" i="10" s="1"/>
  <c r="U368" i="10"/>
  <c r="U336" i="10"/>
  <c r="K444" i="10"/>
  <c r="L421" i="10"/>
  <c r="K416" i="10"/>
  <c r="P414" i="10"/>
  <c r="L349" i="10"/>
  <c r="F344" i="10"/>
  <c r="P299" i="10"/>
  <c r="K283" i="10"/>
  <c r="F271" i="10"/>
  <c r="P239" i="10"/>
  <c r="K224" i="10"/>
  <c r="AF414" i="10"/>
  <c r="Y380" i="10"/>
  <c r="Y312" i="10"/>
  <c r="K310" i="10"/>
  <c r="E283" i="10"/>
  <c r="E280" i="10"/>
  <c r="X350" i="10"/>
  <c r="AD350" i="10" s="1"/>
  <c r="AE350" i="10" s="1"/>
  <c r="AA200" i="10"/>
  <c r="E448" i="10"/>
  <c r="F443" i="10"/>
  <c r="F440" i="10"/>
  <c r="H438" i="10"/>
  <c r="N438" i="10" s="1"/>
  <c r="H413" i="10"/>
  <c r="N413" i="10" s="1"/>
  <c r="P408" i="10"/>
  <c r="L391" i="10"/>
  <c r="E371" i="10"/>
  <c r="K359" i="10"/>
  <c r="F357" i="10"/>
  <c r="P355" i="10"/>
  <c r="I332" i="10"/>
  <c r="P330" i="10"/>
  <c r="H311" i="10"/>
  <c r="K291" i="10"/>
  <c r="L234" i="10"/>
  <c r="H234" i="10"/>
  <c r="K222" i="10"/>
  <c r="F213" i="10"/>
  <c r="E213" i="10"/>
  <c r="P201" i="10"/>
  <c r="I201" i="10"/>
  <c r="X387" i="10"/>
  <c r="AD387" i="10" s="1"/>
  <c r="AE387" i="10" s="1"/>
  <c r="AA387" i="10"/>
  <c r="AB387" i="10"/>
  <c r="Y372" i="10"/>
  <c r="AD372" i="10" s="1"/>
  <c r="AE372" i="10" s="1"/>
  <c r="AF372" i="10"/>
  <c r="X213" i="10"/>
  <c r="U213" i="10"/>
  <c r="V213" i="10"/>
  <c r="K364" i="10"/>
  <c r="F325" i="10"/>
  <c r="P323" i="10"/>
  <c r="H306" i="10"/>
  <c r="N306" i="10" s="1"/>
  <c r="L304" i="10"/>
  <c r="H302" i="10"/>
  <c r="N302" i="10" s="1"/>
  <c r="H300" i="10"/>
  <c r="N300" i="10" s="1"/>
  <c r="I295" i="10"/>
  <c r="K276" i="10"/>
  <c r="L245" i="10"/>
  <c r="P238" i="10"/>
  <c r="P210" i="10"/>
  <c r="I210" i="10"/>
  <c r="E440" i="10"/>
  <c r="I435" i="10"/>
  <c r="H423" i="10"/>
  <c r="K421" i="10"/>
  <c r="E413" i="10"/>
  <c r="I411" i="10"/>
  <c r="I404" i="10"/>
  <c r="K399" i="10"/>
  <c r="L383" i="10"/>
  <c r="I375" i="10"/>
  <c r="N375" i="10" s="1"/>
  <c r="K368" i="10"/>
  <c r="E364" i="10"/>
  <c r="E357" i="10"/>
  <c r="P352" i="10"/>
  <c r="P341" i="10"/>
  <c r="I340" i="10"/>
  <c r="K333" i="10"/>
  <c r="E332" i="10"/>
  <c r="K327" i="10"/>
  <c r="E325" i="10"/>
  <c r="E323" i="10"/>
  <c r="K320" i="10"/>
  <c r="F311" i="10"/>
  <c r="F306" i="10"/>
  <c r="H296" i="10"/>
  <c r="N296" i="10" s="1"/>
  <c r="H295" i="10"/>
  <c r="L283" i="10"/>
  <c r="F276" i="10"/>
  <c r="I261" i="10"/>
  <c r="P259" i="10"/>
  <c r="I259" i="10"/>
  <c r="P254" i="10"/>
  <c r="I252" i="10"/>
  <c r="L247" i="10"/>
  <c r="F245" i="10"/>
  <c r="L244" i="10"/>
  <c r="H244" i="10"/>
  <c r="K235" i="10"/>
  <c r="P231" i="10"/>
  <c r="F226" i="10"/>
  <c r="H225" i="10"/>
  <c r="K225" i="10"/>
  <c r="I220" i="10"/>
  <c r="I208" i="10"/>
  <c r="AB405" i="10"/>
  <c r="V405" i="10"/>
  <c r="X347" i="10"/>
  <c r="AD347" i="10" s="1"/>
  <c r="AE347" i="10" s="1"/>
  <c r="U347" i="10"/>
  <c r="E288" i="10"/>
  <c r="K288" i="10"/>
  <c r="K279" i="10"/>
  <c r="H279" i="10"/>
  <c r="N279" i="10" s="1"/>
  <c r="I243" i="10"/>
  <c r="P240" i="10"/>
  <c r="I235" i="10"/>
  <c r="AA277" i="10"/>
  <c r="AB277" i="10"/>
  <c r="Y199" i="10"/>
  <c r="AF199" i="10"/>
  <c r="AF394" i="10"/>
  <c r="Y394" i="10"/>
  <c r="X270" i="10"/>
  <c r="AD270" i="10" s="1"/>
  <c r="AE270" i="10" s="1"/>
  <c r="AA270" i="10"/>
  <c r="AB270" i="10"/>
  <c r="U270" i="10"/>
  <c r="V270" i="10"/>
  <c r="L214" i="10"/>
  <c r="H214" i="10"/>
  <c r="Y351" i="10"/>
  <c r="AF351" i="10"/>
  <c r="H376" i="10"/>
  <c r="N376" i="10" s="1"/>
  <c r="H349" i="10"/>
  <c r="H400" i="10"/>
  <c r="N400" i="10" s="1"/>
  <c r="F376" i="10"/>
  <c r="L357" i="10"/>
  <c r="F349" i="10"/>
  <c r="L342" i="10"/>
  <c r="K336" i="10"/>
  <c r="K319" i="10"/>
  <c r="P249" i="10"/>
  <c r="I249" i="10"/>
  <c r="N249" i="10" s="1"/>
  <c r="K234" i="10"/>
  <c r="E233" i="10"/>
  <c r="H233" i="10"/>
  <c r="P225" i="10"/>
  <c r="I219" i="10"/>
  <c r="P218" i="10"/>
  <c r="I218" i="10"/>
  <c r="N218" i="10" s="1"/>
  <c r="K213" i="10"/>
  <c r="AB413" i="10"/>
  <c r="AA413" i="10"/>
  <c r="X410" i="10"/>
  <c r="AD410" i="10" s="1"/>
  <c r="AE410" i="10" s="1"/>
  <c r="V410" i="10"/>
  <c r="AB410" i="10"/>
  <c r="AB388" i="10"/>
  <c r="X388" i="10"/>
  <c r="AD388" i="10" s="1"/>
  <c r="AE388" i="10" s="1"/>
  <c r="AA333" i="10"/>
  <c r="X333" i="10"/>
  <c r="AD333" i="10" s="1"/>
  <c r="AE333" i="10" s="1"/>
  <c r="I228" i="10"/>
  <c r="P228" i="10"/>
  <c r="E208" i="10"/>
  <c r="H208" i="10"/>
  <c r="K208" i="10"/>
  <c r="P445" i="10"/>
  <c r="P434" i="10"/>
  <c r="P413" i="10"/>
  <c r="E436" i="10"/>
  <c r="F429" i="10"/>
  <c r="P426" i="10"/>
  <c r="L413" i="10"/>
  <c r="I402" i="10"/>
  <c r="F400" i="10"/>
  <c r="P396" i="10"/>
  <c r="K384" i="10"/>
  <c r="E376" i="10"/>
  <c r="K357" i="10"/>
  <c r="H342" i="10"/>
  <c r="E336" i="10"/>
  <c r="L332" i="10"/>
  <c r="H328" i="10"/>
  <c r="N328" i="10" s="1"/>
  <c r="P325" i="10"/>
  <c r="H319" i="10"/>
  <c r="E297" i="10"/>
  <c r="H297" i="10"/>
  <c r="L295" i="10"/>
  <c r="H289" i="10"/>
  <c r="H284" i="10"/>
  <c r="N284" i="10" s="1"/>
  <c r="I277" i="10"/>
  <c r="P277" i="10"/>
  <c r="E272" i="10"/>
  <c r="K272" i="10"/>
  <c r="E249" i="10"/>
  <c r="F249" i="10"/>
  <c r="F234" i="10"/>
  <c r="H232" i="10"/>
  <c r="N232" i="10" s="1"/>
  <c r="H213" i="10"/>
  <c r="F210" i="10"/>
  <c r="AF395" i="10"/>
  <c r="V387" i="10"/>
  <c r="F261" i="10"/>
  <c r="E261" i="10"/>
  <c r="I226" i="10"/>
  <c r="N226" i="10" s="1"/>
  <c r="P226" i="10"/>
  <c r="H448" i="10"/>
  <c r="N448" i="10" s="1"/>
  <c r="H440" i="10"/>
  <c r="N440" i="10" s="1"/>
  <c r="K431" i="10"/>
  <c r="P387" i="10"/>
  <c r="L364" i="10"/>
  <c r="K332" i="10"/>
  <c r="H325" i="10"/>
  <c r="P316" i="10"/>
  <c r="I314" i="10"/>
  <c r="P314" i="10"/>
  <c r="L311" i="10"/>
  <c r="H309" i="10"/>
  <c r="E303" i="10"/>
  <c r="F303" i="10"/>
  <c r="P300" i="10"/>
  <c r="L296" i="10"/>
  <c r="K295" i="10"/>
  <c r="F293" i="10"/>
  <c r="L291" i="10"/>
  <c r="L286" i="10"/>
  <c r="F279" i="10"/>
  <c r="P245" i="10"/>
  <c r="F244" i="10"/>
  <c r="I234" i="10"/>
  <c r="P234" i="10"/>
  <c r="E225" i="10"/>
  <c r="P213" i="10"/>
  <c r="I213" i="10"/>
  <c r="L209" i="10"/>
  <c r="H209" i="10"/>
  <c r="K209" i="10"/>
  <c r="I206" i="10"/>
  <c r="P206" i="10"/>
  <c r="L201" i="10"/>
  <c r="U405" i="10"/>
  <c r="Y402" i="10"/>
  <c r="AD402" i="10" s="1"/>
  <c r="AE402" i="10" s="1"/>
  <c r="AF402" i="10"/>
  <c r="Y294" i="10"/>
  <c r="AF294" i="10"/>
  <c r="Y271" i="10"/>
  <c r="AF271" i="10"/>
  <c r="Y397" i="10"/>
  <c r="AF387" i="10"/>
  <c r="Y303" i="10"/>
  <c r="AF289" i="10"/>
  <c r="AF282" i="10"/>
  <c r="AB349" i="10"/>
  <c r="F257" i="10"/>
  <c r="E239" i="10"/>
  <c r="F217" i="10"/>
  <c r="AA418" i="10"/>
  <c r="AB415" i="10"/>
  <c r="V408" i="10"/>
  <c r="AF388" i="10"/>
  <c r="AB374" i="10"/>
  <c r="U372" i="10"/>
  <c r="U364" i="10"/>
  <c r="X358" i="10"/>
  <c r="X349" i="10"/>
  <c r="AA337" i="10"/>
  <c r="X273" i="10"/>
  <c r="U271" i="10"/>
  <c r="U253" i="10"/>
  <c r="X244" i="10"/>
  <c r="AB231" i="10"/>
  <c r="V220" i="10"/>
  <c r="V415" i="10"/>
  <c r="U402" i="10"/>
  <c r="AF366" i="10"/>
  <c r="Y296" i="10"/>
  <c r="AB290" i="10"/>
  <c r="AA278" i="10"/>
  <c r="AB261" i="10"/>
  <c r="X233" i="10"/>
  <c r="AB225" i="10"/>
  <c r="U216" i="10"/>
  <c r="V214" i="10"/>
  <c r="AF212" i="10"/>
  <c r="AB200" i="10"/>
  <c r="Y382" i="10"/>
  <c r="AB375" i="10"/>
  <c r="AF336" i="10"/>
  <c r="AA245" i="10"/>
  <c r="Y243" i="10"/>
  <c r="AF206" i="10"/>
  <c r="V200" i="10"/>
  <c r="AB418" i="10"/>
  <c r="X416" i="10"/>
  <c r="AD416" i="10" s="1"/>
  <c r="AE416" i="10" s="1"/>
  <c r="U406" i="10"/>
  <c r="AA402" i="10"/>
  <c r="V394" i="10"/>
  <c r="V384" i="10"/>
  <c r="AA375" i="10"/>
  <c r="AA374" i="10"/>
  <c r="V372" i="10"/>
  <c r="V371" i="10"/>
  <c r="Y358" i="10"/>
  <c r="AF356" i="10"/>
  <c r="AA353" i="10"/>
  <c r="AA350" i="10"/>
  <c r="U349" i="10"/>
  <c r="AF342" i="10"/>
  <c r="V337" i="10"/>
  <c r="AF333" i="10"/>
  <c r="AF316" i="10"/>
  <c r="U309" i="10"/>
  <c r="AB287" i="10"/>
  <c r="Y275" i="10"/>
  <c r="AB273" i="10"/>
  <c r="AB265" i="10"/>
  <c r="Y251" i="10"/>
  <c r="AF246" i="10"/>
  <c r="U244" i="10"/>
  <c r="U233" i="10"/>
  <c r="AF226" i="10"/>
  <c r="AA225" i="10"/>
  <c r="AF201" i="10"/>
  <c r="AB304" i="10"/>
  <c r="AA265" i="10"/>
  <c r="AB391" i="10"/>
  <c r="X418" i="10"/>
  <c r="AB407" i="10"/>
  <c r="X397" i="10"/>
  <c r="AA391" i="10"/>
  <c r="X375" i="10"/>
  <c r="Y363" i="10"/>
  <c r="AD363" i="10" s="1"/>
  <c r="AE363" i="10" s="1"/>
  <c r="AA359" i="10"/>
  <c r="X353" i="10"/>
  <c r="AB351" i="10"/>
  <c r="AF346" i="10"/>
  <c r="AA344" i="10"/>
  <c r="AB340" i="10"/>
  <c r="V338" i="10"/>
  <c r="V333" i="10"/>
  <c r="X325" i="10"/>
  <c r="V306" i="10"/>
  <c r="AA304" i="10"/>
  <c r="Y299" i="10"/>
  <c r="X297" i="10"/>
  <c r="AF295" i="10"/>
  <c r="Y291" i="10"/>
  <c r="AA289" i="10"/>
  <c r="V287" i="10"/>
  <c r="AB280" i="10"/>
  <c r="AF278" i="10"/>
  <c r="Y265" i="10"/>
  <c r="X257" i="10"/>
  <c r="AD257" i="10" s="1"/>
  <c r="AE257" i="10" s="1"/>
  <c r="X226" i="10"/>
  <c r="AD226" i="10" s="1"/>
  <c r="X225" i="10"/>
  <c r="V212" i="10"/>
  <c r="AB210" i="10"/>
  <c r="AB199" i="10"/>
  <c r="U418" i="10"/>
  <c r="V411" i="10"/>
  <c r="AA407" i="10"/>
  <c r="AF405" i="10"/>
  <c r="V403" i="10"/>
  <c r="U397" i="10"/>
  <c r="Y391" i="10"/>
  <c r="V389" i="10"/>
  <c r="AB383" i="10"/>
  <c r="AF379" i="10"/>
  <c r="V375" i="10"/>
  <c r="V363" i="10"/>
  <c r="X359" i="10"/>
  <c r="U355" i="10"/>
  <c r="AA351" i="10"/>
  <c r="AB348" i="10"/>
  <c r="AA340" i="10"/>
  <c r="U338" i="10"/>
  <c r="U333" i="10"/>
  <c r="Y330" i="10"/>
  <c r="X317" i="10"/>
  <c r="AD317" i="10" s="1"/>
  <c r="AE317" i="10" s="1"/>
  <c r="AA308" i="10"/>
  <c r="Y304" i="10"/>
  <c r="AB295" i="10"/>
  <c r="U287" i="10"/>
  <c r="AB281" i="10"/>
  <c r="X280" i="10"/>
  <c r="AA274" i="10"/>
  <c r="X265" i="10"/>
  <c r="V257" i="10"/>
  <c r="U250" i="10"/>
  <c r="AF244" i="10"/>
  <c r="V226" i="10"/>
  <c r="V225" i="10"/>
  <c r="AF221" i="10"/>
  <c r="V217" i="10"/>
  <c r="Y213" i="10"/>
  <c r="U212" i="10"/>
  <c r="AA210" i="10"/>
  <c r="AA199" i="10"/>
  <c r="X407" i="10"/>
  <c r="AD407" i="10" s="1"/>
  <c r="AE407" i="10" s="1"/>
  <c r="U403" i="10"/>
  <c r="AF398" i="10"/>
  <c r="X391" i="10"/>
  <c r="AA383" i="10"/>
  <c r="AF381" i="10"/>
  <c r="V379" i="10"/>
  <c r="V376" i="10"/>
  <c r="Y370" i="10"/>
  <c r="U363" i="10"/>
  <c r="Y361" i="10"/>
  <c r="AD361" i="10" s="1"/>
  <c r="AE361" i="10" s="1"/>
  <c r="U359" i="10"/>
  <c r="AB357" i="10"/>
  <c r="X351" i="10"/>
  <c r="AF341" i="10"/>
  <c r="AA336" i="10"/>
  <c r="AF322" i="10"/>
  <c r="V317" i="10"/>
  <c r="X295" i="10"/>
  <c r="AD295" i="10" s="1"/>
  <c r="AE295" i="10" s="1"/>
  <c r="AB293" i="10"/>
  <c r="AA281" i="10"/>
  <c r="X274" i="10"/>
  <c r="AD274" i="10" s="1"/>
  <c r="AE274" i="10" s="1"/>
  <c r="AF266" i="10"/>
  <c r="V265" i="10"/>
  <c r="U257" i="10"/>
  <c r="Y252" i="10"/>
  <c r="AD252" i="10" s="1"/>
  <c r="AE252" i="10" s="1"/>
  <c r="AA244" i="10"/>
  <c r="AB221" i="10"/>
  <c r="X199" i="10"/>
  <c r="Y413" i="10"/>
  <c r="U398" i="10"/>
  <c r="V391" i="10"/>
  <c r="V383" i="10"/>
  <c r="U379" i="10"/>
  <c r="X370" i="10"/>
  <c r="V357" i="10"/>
  <c r="U351" i="10"/>
  <c r="AA345" i="10"/>
  <c r="X340" i="10"/>
  <c r="AD340" i="10" s="1"/>
  <c r="AE340" i="10" s="1"/>
  <c r="X336" i="10"/>
  <c r="AD336" i="10" s="1"/>
  <c r="AE336" i="10" s="1"/>
  <c r="AF319" i="10"/>
  <c r="U317" i="10"/>
  <c r="X281" i="10"/>
  <c r="AD281" i="10" s="1"/>
  <c r="AE281" i="10" s="1"/>
  <c r="V274" i="10"/>
  <c r="AF272" i="10"/>
  <c r="Y269" i="10"/>
  <c r="V252" i="10"/>
  <c r="AB247" i="10"/>
  <c r="Y235" i="10"/>
  <c r="AB229" i="10"/>
  <c r="AA221" i="10"/>
  <c r="Y205" i="10"/>
  <c r="U199" i="10"/>
  <c r="Y396" i="10"/>
  <c r="AB364" i="10"/>
  <c r="AF352" i="10"/>
  <c r="X345" i="10"/>
  <c r="AF332" i="10"/>
  <c r="Y286" i="10"/>
  <c r="AA249" i="10"/>
  <c r="Y245" i="10"/>
  <c r="Y231" i="10"/>
  <c r="AA216" i="10"/>
  <c r="Y207" i="10"/>
  <c r="AD341" i="10"/>
  <c r="AE341" i="10" s="1"/>
  <c r="AD322" i="10"/>
  <c r="AE322" i="10" s="1"/>
  <c r="L432" i="10"/>
  <c r="H432" i="10"/>
  <c r="N432" i="10" s="1"/>
  <c r="E432" i="10"/>
  <c r="P428" i="10"/>
  <c r="I428" i="10"/>
  <c r="L424" i="10"/>
  <c r="E424" i="10"/>
  <c r="K424" i="10"/>
  <c r="I416" i="10"/>
  <c r="P416" i="10"/>
  <c r="P410" i="10"/>
  <c r="I398" i="10"/>
  <c r="N398" i="10" s="1"/>
  <c r="P398" i="10"/>
  <c r="P388" i="10"/>
  <c r="I388" i="10"/>
  <c r="F369" i="10"/>
  <c r="L369" i="10"/>
  <c r="I339" i="10"/>
  <c r="N339" i="10" s="1"/>
  <c r="P339" i="10"/>
  <c r="I450" i="10"/>
  <c r="N450" i="10" s="1"/>
  <c r="I420" i="10"/>
  <c r="P420" i="10"/>
  <c r="E373" i="10"/>
  <c r="H373" i="10"/>
  <c r="N373" i="10" s="1"/>
  <c r="K373" i="10"/>
  <c r="L373" i="10"/>
  <c r="E367" i="10"/>
  <c r="H367" i="10"/>
  <c r="K367" i="10"/>
  <c r="H365" i="10"/>
  <c r="N365" i="10" s="1"/>
  <c r="L365" i="10"/>
  <c r="E365" i="10"/>
  <c r="F442" i="10"/>
  <c r="K442" i="10"/>
  <c r="L437" i="10"/>
  <c r="E437" i="10"/>
  <c r="P429" i="10"/>
  <c r="L441" i="10"/>
  <c r="L436" i="10"/>
  <c r="K429" i="10"/>
  <c r="L415" i="10"/>
  <c r="L408" i="10"/>
  <c r="H408" i="10"/>
  <c r="N408" i="10" s="1"/>
  <c r="E375" i="10"/>
  <c r="K375" i="10"/>
  <c r="I362" i="10"/>
  <c r="N362" i="10" s="1"/>
  <c r="P362" i="10"/>
  <c r="L360" i="10"/>
  <c r="H360" i="10"/>
  <c r="N360" i="10" s="1"/>
  <c r="K360" i="10"/>
  <c r="E360" i="10"/>
  <c r="F356" i="10"/>
  <c r="K356" i="10"/>
  <c r="L356" i="10"/>
  <c r="E356" i="10"/>
  <c r="E351" i="10"/>
  <c r="L351" i="10"/>
  <c r="H351" i="10"/>
  <c r="L445" i="10"/>
  <c r="K441" i="10"/>
  <c r="P437" i="10"/>
  <c r="P427" i="10"/>
  <c r="I427" i="10"/>
  <c r="P419" i="10"/>
  <c r="I419" i="10"/>
  <c r="P442" i="10"/>
  <c r="K437" i="10"/>
  <c r="E391" i="10"/>
  <c r="F391" i="10"/>
  <c r="K391" i="10"/>
  <c r="H387" i="10"/>
  <c r="N387" i="10" s="1"/>
  <c r="E387" i="10"/>
  <c r="L384" i="10"/>
  <c r="F384" i="10"/>
  <c r="H384" i="10"/>
  <c r="N384" i="10" s="1"/>
  <c r="P359" i="10"/>
  <c r="I359" i="10"/>
  <c r="K432" i="10"/>
  <c r="E407" i="10"/>
  <c r="F407" i="10"/>
  <c r="K407" i="10"/>
  <c r="L407" i="10"/>
  <c r="K389" i="10"/>
  <c r="L389" i="10"/>
  <c r="F389" i="10"/>
  <c r="H389" i="10"/>
  <c r="N389" i="10" s="1"/>
  <c r="I386" i="10"/>
  <c r="P386" i="10"/>
  <c r="K365" i="10"/>
  <c r="I357" i="10"/>
  <c r="N357" i="10" s="1"/>
  <c r="P357" i="10"/>
  <c r="F445" i="10"/>
  <c r="E439" i="10"/>
  <c r="H439" i="10"/>
  <c r="H437" i="10"/>
  <c r="N437" i="10" s="1"/>
  <c r="F432" i="10"/>
  <c r="L429" i="10"/>
  <c r="E429" i="10"/>
  <c r="F424" i="10"/>
  <c r="I421" i="10"/>
  <c r="P421" i="10"/>
  <c r="H405" i="10"/>
  <c r="L405" i="10"/>
  <c r="E405" i="10"/>
  <c r="E399" i="10"/>
  <c r="L399" i="10"/>
  <c r="K397" i="10"/>
  <c r="L397" i="10"/>
  <c r="F397" i="10"/>
  <c r="H397" i="10"/>
  <c r="I383" i="10"/>
  <c r="L375" i="10"/>
  <c r="L367" i="10"/>
  <c r="H355" i="10"/>
  <c r="N355" i="10" s="1"/>
  <c r="E355" i="10"/>
  <c r="H424" i="10"/>
  <c r="N424" i="10" s="1"/>
  <c r="E415" i="10"/>
  <c r="H415" i="10"/>
  <c r="K415" i="10"/>
  <c r="L448" i="10"/>
  <c r="F448" i="10"/>
  <c r="E445" i="10"/>
  <c r="H442" i="10"/>
  <c r="N442" i="10" s="1"/>
  <c r="F437" i="10"/>
  <c r="F408" i="10"/>
  <c r="F373" i="10"/>
  <c r="P371" i="10"/>
  <c r="F365" i="10"/>
  <c r="I354" i="10"/>
  <c r="P354" i="10"/>
  <c r="K317" i="10"/>
  <c r="E317" i="10"/>
  <c r="I272" i="10"/>
  <c r="P272" i="10"/>
  <c r="F265" i="10"/>
  <c r="K265" i="10"/>
  <c r="H263" i="10"/>
  <c r="N263" i="10" s="1"/>
  <c r="K263" i="10"/>
  <c r="L263" i="10"/>
  <c r="L242" i="10"/>
  <c r="E242" i="10"/>
  <c r="F242" i="10"/>
  <c r="H242" i="10"/>
  <c r="N242" i="10" s="1"/>
  <c r="H230" i="10"/>
  <c r="N230" i="10" s="1"/>
  <c r="K230" i="10"/>
  <c r="E223" i="10"/>
  <c r="F223" i="10"/>
  <c r="I403" i="10"/>
  <c r="L380" i="10"/>
  <c r="P376" i="10"/>
  <c r="P372" i="10"/>
  <c r="K352" i="10"/>
  <c r="L348" i="10"/>
  <c r="E347" i="10"/>
  <c r="K340" i="10"/>
  <c r="H336" i="10"/>
  <c r="N336" i="10" s="1"/>
  <c r="P328" i="10"/>
  <c r="H327" i="10"/>
  <c r="N304" i="10"/>
  <c r="L293" i="10"/>
  <c r="F287" i="10"/>
  <c r="H287" i="10"/>
  <c r="L280" i="10"/>
  <c r="I270" i="10"/>
  <c r="P262" i="10"/>
  <c r="L252" i="10"/>
  <c r="E252" i="10"/>
  <c r="F252" i="10"/>
  <c r="L241" i="10"/>
  <c r="L236" i="10"/>
  <c r="F236" i="10"/>
  <c r="H236" i="10"/>
  <c r="N236" i="10" s="1"/>
  <c r="P222" i="10"/>
  <c r="I381" i="10"/>
  <c r="K380" i="10"/>
  <c r="H352" i="10"/>
  <c r="N352" i="10" s="1"/>
  <c r="I349" i="10"/>
  <c r="K348" i="10"/>
  <c r="F336" i="10"/>
  <c r="E335" i="10"/>
  <c r="L335" i="10"/>
  <c r="H333" i="10"/>
  <c r="N333" i="10" s="1"/>
  <c r="K328" i="10"/>
  <c r="P318" i="10"/>
  <c r="L316" i="10"/>
  <c r="P311" i="10"/>
  <c r="P310" i="10"/>
  <c r="F304" i="10"/>
  <c r="E304" i="10"/>
  <c r="K302" i="10"/>
  <c r="K298" i="10"/>
  <c r="I271" i="10"/>
  <c r="H255" i="10"/>
  <c r="K255" i="10"/>
  <c r="L255" i="10"/>
  <c r="P247" i="10"/>
  <c r="L235" i="10"/>
  <c r="K231" i="10"/>
  <c r="F231" i="10"/>
  <c r="H231" i="10"/>
  <c r="N231" i="10" s="1"/>
  <c r="L231" i="10"/>
  <c r="F207" i="10"/>
  <c r="K207" i="10"/>
  <c r="L207" i="10"/>
  <c r="I200" i="10"/>
  <c r="P200" i="10"/>
  <c r="E321" i="10"/>
  <c r="F321" i="10"/>
  <c r="P319" i="10"/>
  <c r="K316" i="10"/>
  <c r="P312" i="10"/>
  <c r="F300" i="10"/>
  <c r="K300" i="10"/>
  <c r="L288" i="10"/>
  <c r="F288" i="10"/>
  <c r="H288" i="10"/>
  <c r="N288" i="10" s="1"/>
  <c r="P276" i="10"/>
  <c r="N264" i="10"/>
  <c r="E253" i="10"/>
  <c r="F253" i="10"/>
  <c r="F246" i="10"/>
  <c r="E246" i="10"/>
  <c r="H246" i="10"/>
  <c r="I211" i="10"/>
  <c r="P211" i="10"/>
  <c r="E343" i="10"/>
  <c r="H343" i="10"/>
  <c r="K434" i="10"/>
  <c r="L431" i="10"/>
  <c r="K413" i="10"/>
  <c r="K400" i="10"/>
  <c r="E380" i="10"/>
  <c r="P368" i="10"/>
  <c r="P364" i="10"/>
  <c r="N363" i="10"/>
  <c r="L359" i="10"/>
  <c r="E352" i="10"/>
  <c r="H350" i="10"/>
  <c r="E348" i="10"/>
  <c r="P346" i="10"/>
  <c r="E333" i="10"/>
  <c r="P320" i="10"/>
  <c r="L319" i="10"/>
  <c r="L312" i="10"/>
  <c r="K308" i="10"/>
  <c r="K306" i="10"/>
  <c r="K303" i="10"/>
  <c r="E302" i="10"/>
  <c r="F298" i="10"/>
  <c r="F289" i="10"/>
  <c r="L276" i="10"/>
  <c r="F270" i="10"/>
  <c r="L270" i="10"/>
  <c r="P266" i="10"/>
  <c r="I266" i="10"/>
  <c r="N266" i="10" s="1"/>
  <c r="F262" i="10"/>
  <c r="K262" i="10"/>
  <c r="L262" i="10"/>
  <c r="L230" i="10"/>
  <c r="F221" i="10"/>
  <c r="H221" i="10"/>
  <c r="P216" i="10"/>
  <c r="I216" i="10"/>
  <c r="K211" i="10"/>
  <c r="L211" i="10"/>
  <c r="I204" i="10"/>
  <c r="P204" i="10"/>
  <c r="F326" i="10"/>
  <c r="H326" i="10"/>
  <c r="H323" i="10"/>
  <c r="N323" i="10" s="1"/>
  <c r="K323" i="10"/>
  <c r="H316" i="10"/>
  <c r="N316" i="10" s="1"/>
  <c r="H305" i="10"/>
  <c r="K305" i="10"/>
  <c r="L299" i="10"/>
  <c r="K293" i="10"/>
  <c r="E293" i="10"/>
  <c r="K284" i="10"/>
  <c r="E284" i="10"/>
  <c r="F284" i="10"/>
  <c r="H280" i="10"/>
  <c r="N280" i="10" s="1"/>
  <c r="K280" i="10"/>
  <c r="I269" i="10"/>
  <c r="P269" i="10"/>
  <c r="I267" i="10"/>
  <c r="N267" i="10" s="1"/>
  <c r="L266" i="10"/>
  <c r="K266" i="10"/>
  <c r="F263" i="10"/>
  <c r="F243" i="10"/>
  <c r="L243" i="10"/>
  <c r="E241" i="10"/>
  <c r="F241" i="10"/>
  <c r="H241" i="10"/>
  <c r="H239" i="10"/>
  <c r="K239" i="10"/>
  <c r="L239" i="10"/>
  <c r="F230" i="10"/>
  <c r="K216" i="10"/>
  <c r="L216" i="10"/>
  <c r="L328" i="10"/>
  <c r="E328" i="10"/>
  <c r="E316" i="10"/>
  <c r="F310" i="10"/>
  <c r="L310" i="10"/>
  <c r="E308" i="10"/>
  <c r="L300" i="10"/>
  <c r="P296" i="10"/>
  <c r="K294" i="10"/>
  <c r="I291" i="10"/>
  <c r="P291" i="10"/>
  <c r="I287" i="10"/>
  <c r="P279" i="10"/>
  <c r="P274" i="10"/>
  <c r="F269" i="10"/>
  <c r="L269" i="10"/>
  <c r="L265" i="10"/>
  <c r="E263" i="10"/>
  <c r="F254" i="10"/>
  <c r="H254" i="10"/>
  <c r="N254" i="10" s="1"/>
  <c r="K254" i="10"/>
  <c r="E247" i="10"/>
  <c r="F247" i="10"/>
  <c r="H247" i="10"/>
  <c r="N247" i="10" s="1"/>
  <c r="K242" i="10"/>
  <c r="P236" i="10"/>
  <c r="F232" i="10"/>
  <c r="K232" i="10"/>
  <c r="L232" i="10"/>
  <c r="E230" i="10"/>
  <c r="K223" i="10"/>
  <c r="E222" i="10"/>
  <c r="F222" i="10"/>
  <c r="H222" i="10"/>
  <c r="N222" i="10" s="1"/>
  <c r="I212" i="10"/>
  <c r="H322" i="10"/>
  <c r="N322" i="10" s="1"/>
  <c r="K440" i="10"/>
  <c r="H431" i="10"/>
  <c r="L423" i="10"/>
  <c r="P406" i="10"/>
  <c r="E400" i="10"/>
  <c r="F392" i="10"/>
  <c r="L388" i="10"/>
  <c r="P384" i="10"/>
  <c r="K383" i="10"/>
  <c r="E379" i="10"/>
  <c r="F368" i="10"/>
  <c r="H359" i="10"/>
  <c r="E339" i="10"/>
  <c r="H335" i="10"/>
  <c r="L327" i="10"/>
  <c r="L325" i="10"/>
  <c r="H320" i="10"/>
  <c r="N320" i="10" s="1"/>
  <c r="F319" i="10"/>
  <c r="E312" i="10"/>
  <c r="E311" i="10"/>
  <c r="P309" i="10"/>
  <c r="E306" i="10"/>
  <c r="K304" i="10"/>
  <c r="P301" i="10"/>
  <c r="P288" i="10"/>
  <c r="E287" i="10"/>
  <c r="F285" i="10"/>
  <c r="E285" i="10"/>
  <c r="L279" i="10"/>
  <c r="E276" i="10"/>
  <c r="F255" i="10"/>
  <c r="H252" i="10"/>
  <c r="E236" i="10"/>
  <c r="I217" i="10"/>
  <c r="H212" i="10"/>
  <c r="L271" i="10"/>
  <c r="P250" i="10"/>
  <c r="P214" i="10"/>
  <c r="P205" i="10"/>
  <c r="L233" i="10"/>
  <c r="L218" i="10"/>
  <c r="K217" i="10"/>
  <c r="L213" i="10"/>
  <c r="AF415" i="10"/>
  <c r="AB399" i="10"/>
  <c r="AF367" i="10"/>
  <c r="AA366" i="10"/>
  <c r="U361" i="10"/>
  <c r="AA361" i="10"/>
  <c r="AA354" i="10"/>
  <c r="AF350" i="10"/>
  <c r="U344" i="10"/>
  <c r="AB344" i="10"/>
  <c r="AF327" i="10"/>
  <c r="AA319" i="10"/>
  <c r="AB313" i="10"/>
  <c r="AB303" i="10"/>
  <c r="AB300" i="10"/>
  <c r="X300" i="10"/>
  <c r="AD300" i="10" s="1"/>
  <c r="AE300" i="10" s="1"/>
  <c r="Y284" i="10"/>
  <c r="AF284" i="10"/>
  <c r="U282" i="10"/>
  <c r="X282" i="10"/>
  <c r="AD282" i="10" s="1"/>
  <c r="AE282" i="10" s="1"/>
  <c r="AA282" i="10"/>
  <c r="Y268" i="10"/>
  <c r="AF268" i="10"/>
  <c r="X246" i="10"/>
  <c r="AD246" i="10" s="1"/>
  <c r="V246" i="10"/>
  <c r="AB236" i="10"/>
  <c r="X236" i="10"/>
  <c r="AD236" i="10" s="1"/>
  <c r="AA236" i="10"/>
  <c r="U236" i="10"/>
  <c r="AF216" i="10"/>
  <c r="Y216" i="10"/>
  <c r="U414" i="10"/>
  <c r="U413" i="10"/>
  <c r="U411" i="10"/>
  <c r="U408" i="10"/>
  <c r="V407" i="10"/>
  <c r="Y404" i="10"/>
  <c r="AA399" i="10"/>
  <c r="AF386" i="10"/>
  <c r="U383" i="10"/>
  <c r="U381" i="10"/>
  <c r="AA380" i="10"/>
  <c r="X380" i="10"/>
  <c r="AF378" i="10"/>
  <c r="U376" i="10"/>
  <c r="AA367" i="10"/>
  <c r="AF364" i="10"/>
  <c r="AF360" i="10"/>
  <c r="Y359" i="10"/>
  <c r="AF359" i="10"/>
  <c r="Y354" i="10"/>
  <c r="Y349" i="10"/>
  <c r="Y348" i="10"/>
  <c r="X346" i="10"/>
  <c r="AD346" i="10" s="1"/>
  <c r="AE346" i="10" s="1"/>
  <c r="AF343" i="10"/>
  <c r="AA341" i="10"/>
  <c r="V341" i="10"/>
  <c r="AF339" i="10"/>
  <c r="X335" i="10"/>
  <c r="AD335" i="10" s="1"/>
  <c r="AE335" i="10" s="1"/>
  <c r="AB327" i="10"/>
  <c r="AB322" i="10"/>
  <c r="V322" i="10"/>
  <c r="AF315" i="10"/>
  <c r="AA313" i="10"/>
  <c r="U310" i="10"/>
  <c r="X310" i="10"/>
  <c r="AD310" i="10" s="1"/>
  <c r="AE310" i="10" s="1"/>
  <c r="X305" i="10"/>
  <c r="AA305" i="10"/>
  <c r="V305" i="10"/>
  <c r="V296" i="10"/>
  <c r="AA296" i="10"/>
  <c r="X296" i="10"/>
  <c r="AB289" i="10"/>
  <c r="U289" i="10"/>
  <c r="X275" i="10"/>
  <c r="V275" i="10"/>
  <c r="AA254" i="10"/>
  <c r="U254" i="10"/>
  <c r="V254" i="10"/>
  <c r="Y247" i="10"/>
  <c r="AD247" i="10" s="1"/>
  <c r="AE247" i="10" s="1"/>
  <c r="AF247" i="10"/>
  <c r="AF230" i="10"/>
  <c r="AF209" i="10"/>
  <c r="AF419" i="10"/>
  <c r="Y418" i="10"/>
  <c r="AF416" i="10"/>
  <c r="AA405" i="10"/>
  <c r="AB402" i="10"/>
  <c r="X399" i="10"/>
  <c r="AD399" i="10" s="1"/>
  <c r="AE399" i="10" s="1"/>
  <c r="AF390" i="10"/>
  <c r="AF369" i="10"/>
  <c r="Y369" i="10"/>
  <c r="X367" i="10"/>
  <c r="AD367" i="10" s="1"/>
  <c r="AE367" i="10" s="1"/>
  <c r="X366" i="10"/>
  <c r="AD366" i="10" s="1"/>
  <c r="AE366" i="10" s="1"/>
  <c r="X354" i="10"/>
  <c r="V346" i="10"/>
  <c r="AA343" i="10"/>
  <c r="V342" i="10"/>
  <c r="X342" i="10"/>
  <c r="AD342" i="10" s="1"/>
  <c r="AE342" i="10" s="1"/>
  <c r="Y337" i="10"/>
  <c r="V335" i="10"/>
  <c r="X319" i="10"/>
  <c r="AD319" i="10" s="1"/>
  <c r="AE319" i="10" s="1"/>
  <c r="X313" i="10"/>
  <c r="AD313" i="10" s="1"/>
  <c r="AE313" i="10" s="1"/>
  <c r="Y308" i="10"/>
  <c r="AD308" i="10" s="1"/>
  <c r="AE308" i="10" s="1"/>
  <c r="X303" i="10"/>
  <c r="U292" i="10"/>
  <c r="X292" i="10"/>
  <c r="AF273" i="10"/>
  <c r="Y273" i="10"/>
  <c r="AF263" i="10"/>
  <c r="AF242" i="10"/>
  <c r="V240" i="10"/>
  <c r="X240" i="10"/>
  <c r="U240" i="10"/>
  <c r="AA240" i="10"/>
  <c r="U232" i="10"/>
  <c r="X232" i="10"/>
  <c r="X218" i="10"/>
  <c r="AA218" i="10"/>
  <c r="U218" i="10"/>
  <c r="V218" i="10"/>
  <c r="V419" i="10"/>
  <c r="V400" i="10"/>
  <c r="V399" i="10"/>
  <c r="AA384" i="10"/>
  <c r="X384" i="10"/>
  <c r="AD384" i="10" s="1"/>
  <c r="AE384" i="10" s="1"/>
  <c r="AB379" i="10"/>
  <c r="Y373" i="10"/>
  <c r="AF373" i="10"/>
  <c r="V367" i="10"/>
  <c r="AB362" i="10"/>
  <c r="AA362" i="10"/>
  <c r="Y357" i="10"/>
  <c r="AF355" i="10"/>
  <c r="V354" i="10"/>
  <c r="U346" i="10"/>
  <c r="V343" i="10"/>
  <c r="U335" i="10"/>
  <c r="V327" i="10"/>
  <c r="V319" i="10"/>
  <c r="U313" i="10"/>
  <c r="Y311" i="10"/>
  <c r="AF311" i="10"/>
  <c r="X294" i="10"/>
  <c r="AB294" i="10"/>
  <c r="V267" i="10"/>
  <c r="AB267" i="10"/>
  <c r="Y261" i="10"/>
  <c r="AF261" i="10"/>
  <c r="AF249" i="10"/>
  <c r="Y249" i="10"/>
  <c r="AD249" i="10" s="1"/>
  <c r="AE249" i="10" s="1"/>
  <c r="X230" i="10"/>
  <c r="AA230" i="10"/>
  <c r="AF223" i="10"/>
  <c r="Y223" i="10"/>
  <c r="AD223" i="10" s="1"/>
  <c r="AA215" i="10"/>
  <c r="U209" i="10"/>
  <c r="V209" i="10"/>
  <c r="X209" i="10"/>
  <c r="U419" i="10"/>
  <c r="V416" i="10"/>
  <c r="X415" i="10"/>
  <c r="AD415" i="10" s="1"/>
  <c r="AE415" i="10" s="1"/>
  <c r="Y412" i="10"/>
  <c r="AF410" i="10"/>
  <c r="AF407" i="10"/>
  <c r="AF406" i="10"/>
  <c r="X405" i="10"/>
  <c r="AD405" i="10" s="1"/>
  <c r="AE405" i="10" s="1"/>
  <c r="AF403" i="10"/>
  <c r="AA397" i="10"/>
  <c r="AB394" i="10"/>
  <c r="V385" i="10"/>
  <c r="AF383" i="10"/>
  <c r="AA379" i="10"/>
  <c r="AF374" i="10"/>
  <c r="AA370" i="10"/>
  <c r="AF368" i="10"/>
  <c r="U367" i="10"/>
  <c r="AB361" i="10"/>
  <c r="AB359" i="10"/>
  <c r="AA358" i="10"/>
  <c r="X357" i="10"/>
  <c r="V355" i="10"/>
  <c r="U354" i="10"/>
  <c r="U353" i="10"/>
  <c r="AB353" i="10"/>
  <c r="AF344" i="10"/>
  <c r="AB341" i="10"/>
  <c r="AF338" i="10"/>
  <c r="AA325" i="10"/>
  <c r="V325" i="10"/>
  <c r="AA322" i="10"/>
  <c r="AF320" i="10"/>
  <c r="U319" i="10"/>
  <c r="Y309" i="10"/>
  <c r="AD309" i="10" s="1"/>
  <c r="AE309" i="10" s="1"/>
  <c r="AA300" i="10"/>
  <c r="AB297" i="10"/>
  <c r="AA297" i="10"/>
  <c r="V297" i="10"/>
  <c r="AF287" i="10"/>
  <c r="AB246" i="10"/>
  <c r="Y239" i="10"/>
  <c r="AF239" i="10"/>
  <c r="AA223" i="10"/>
  <c r="AB223" i="10"/>
  <c r="U223" i="10"/>
  <c r="V223" i="10"/>
  <c r="Y204" i="10"/>
  <c r="AF204" i="10"/>
  <c r="V366" i="10"/>
  <c r="AB366" i="10"/>
  <c r="Y314" i="10"/>
  <c r="AD314" i="10" s="1"/>
  <c r="AE314" i="10" s="1"/>
  <c r="AF314" i="10"/>
  <c r="Y293" i="10"/>
  <c r="AF293" i="10"/>
  <c r="Y262" i="10"/>
  <c r="AF262" i="10"/>
  <c r="X204" i="10"/>
  <c r="V204" i="10"/>
  <c r="U204" i="10"/>
  <c r="AA204" i="10"/>
  <c r="AA400" i="10"/>
  <c r="X400" i="10"/>
  <c r="AD400" i="10" s="1"/>
  <c r="AE400" i="10" s="1"/>
  <c r="AB343" i="10"/>
  <c r="X343" i="10"/>
  <c r="AD343" i="10" s="1"/>
  <c r="AE343" i="10" s="1"/>
  <c r="Y334" i="10"/>
  <c r="AF334" i="10"/>
  <c r="AA327" i="10"/>
  <c r="X327" i="10"/>
  <c r="AD327" i="10" s="1"/>
  <c r="AE327" i="10" s="1"/>
  <c r="U314" i="10"/>
  <c r="V314" i="10"/>
  <c r="Y305" i="10"/>
  <c r="U300" i="10"/>
  <c r="U291" i="10"/>
  <c r="AA291" i="10"/>
  <c r="AB291" i="10"/>
  <c r="X291" i="10"/>
  <c r="V282" i="10"/>
  <c r="U276" i="10"/>
  <c r="V276" i="10"/>
  <c r="Y248" i="10"/>
  <c r="AF248" i="10"/>
  <c r="X413" i="10"/>
  <c r="AF411" i="10"/>
  <c r="X408" i="10"/>
  <c r="AD408" i="10" s="1"/>
  <c r="AE408" i="10" s="1"/>
  <c r="AB398" i="10"/>
  <c r="V397" i="10"/>
  <c r="V395" i="10"/>
  <c r="X394" i="10"/>
  <c r="U392" i="10"/>
  <c r="U389" i="10"/>
  <c r="U388" i="10"/>
  <c r="AF384" i="10"/>
  <c r="U380" i="10"/>
  <c r="AF376" i="10"/>
  <c r="V370" i="10"/>
  <c r="X362" i="10"/>
  <c r="AD362" i="10" s="1"/>
  <c r="AE362" i="10" s="1"/>
  <c r="U358" i="10"/>
  <c r="Y345" i="10"/>
  <c r="U341" i="10"/>
  <c r="AA335" i="10"/>
  <c r="U322" i="10"/>
  <c r="V310" i="10"/>
  <c r="U305" i="10"/>
  <c r="V304" i="10"/>
  <c r="X304" i="10"/>
  <c r="Y302" i="10"/>
  <c r="Y298" i="10"/>
  <c r="AF298" i="10"/>
  <c r="U296" i="10"/>
  <c r="AF290" i="10"/>
  <c r="V289" i="10"/>
  <c r="V279" i="10"/>
  <c r="X279" i="10"/>
  <c r="U272" i="10"/>
  <c r="AA272" i="10"/>
  <c r="AB266" i="10"/>
  <c r="X266" i="10"/>
  <c r="Y254" i="10"/>
  <c r="V248" i="10"/>
  <c r="AB248" i="10"/>
  <c r="U248" i="10"/>
  <c r="X248" i="10"/>
  <c r="AA241" i="10"/>
  <c r="X241" i="10"/>
  <c r="AD241" i="10" s="1"/>
  <c r="AE241" i="10" s="1"/>
  <c r="AB241" i="10"/>
  <c r="U241" i="10"/>
  <c r="AF220" i="10"/>
  <c r="AA219" i="10"/>
  <c r="V219" i="10"/>
  <c r="AF214" i="10"/>
  <c r="V208" i="10"/>
  <c r="AB208" i="10"/>
  <c r="AA208" i="10"/>
  <c r="U208" i="10"/>
  <c r="AB345" i="10"/>
  <c r="AA330" i="10"/>
  <c r="AB274" i="10"/>
  <c r="AA273" i="10"/>
  <c r="AF264" i="10"/>
  <c r="X261" i="10"/>
  <c r="V261" i="10"/>
  <c r="X253" i="10"/>
  <c r="AD253" i="10" s="1"/>
  <c r="AE253" i="10" s="1"/>
  <c r="AB253" i="10"/>
  <c r="AA217" i="10"/>
  <c r="V249" i="10"/>
  <c r="U235" i="10"/>
  <c r="AB235" i="10"/>
  <c r="V228" i="10"/>
  <c r="U227" i="10"/>
  <c r="V227" i="10"/>
  <c r="Y224" i="10"/>
  <c r="U222" i="10"/>
  <c r="AA222" i="10"/>
  <c r="X216" i="10"/>
  <c r="AB217" i="10"/>
  <c r="U217" i="10"/>
  <c r="X271" i="10"/>
  <c r="Y258" i="10"/>
  <c r="AF258" i="10"/>
  <c r="AB227" i="10"/>
  <c r="AB222" i="10"/>
  <c r="X212" i="10"/>
  <c r="AB212" i="10"/>
  <c r="V278" i="10"/>
  <c r="AB249" i="10"/>
  <c r="X235" i="10"/>
  <c r="AA231" i="10"/>
  <c r="X231" i="10"/>
  <c r="AA227" i="10"/>
  <c r="Y219" i="10"/>
  <c r="AD219" i="10" s="1"/>
  <c r="AB216" i="10"/>
  <c r="N446" i="10"/>
  <c r="N394" i="10"/>
  <c r="N308" i="10"/>
  <c r="AD289" i="10"/>
  <c r="AE289" i="10" s="1"/>
  <c r="N414" i="10"/>
  <c r="AD383" i="10"/>
  <c r="AE383" i="10" s="1"/>
  <c r="AD379" i="10"/>
  <c r="AE379" i="10" s="1"/>
  <c r="N406" i="10"/>
  <c r="N293" i="10"/>
  <c r="AD403" i="10"/>
  <c r="AE403" i="10" s="1"/>
  <c r="AD344" i="10"/>
  <c r="AE344" i="10" s="1"/>
  <c r="AD234" i="10"/>
  <c r="AD411" i="10"/>
  <c r="AE411" i="10" s="1"/>
  <c r="AD355" i="10"/>
  <c r="AE355" i="10" s="1"/>
  <c r="AD200" i="10"/>
  <c r="AE200" i="10" s="1"/>
  <c r="N422" i="10"/>
  <c r="N426" i="10"/>
  <c r="N371" i="10"/>
  <c r="N303" i="10"/>
  <c r="N430" i="10"/>
  <c r="N286" i="10"/>
  <c r="N315" i="10"/>
  <c r="AD419" i="10"/>
  <c r="AE419" i="10" s="1"/>
  <c r="AD376" i="10"/>
  <c r="AE376" i="10" s="1"/>
  <c r="V334" i="10"/>
  <c r="X334" i="10"/>
  <c r="U329" i="10"/>
  <c r="V329" i="10"/>
  <c r="X329" i="10"/>
  <c r="AA328" i="10"/>
  <c r="AB328" i="10"/>
  <c r="U321" i="10"/>
  <c r="V321" i="10"/>
  <c r="X321" i="10"/>
  <c r="AA320" i="10"/>
  <c r="AB320" i="10"/>
  <c r="U315" i="10"/>
  <c r="X315" i="10"/>
  <c r="AD315" i="10" s="1"/>
  <c r="AE315" i="10" s="1"/>
  <c r="AA315" i="10"/>
  <c r="V312" i="10"/>
  <c r="U312" i="10"/>
  <c r="X312" i="10"/>
  <c r="U299" i="10"/>
  <c r="AA299" i="10"/>
  <c r="AB299" i="10"/>
  <c r="AF283" i="10"/>
  <c r="Y283" i="10"/>
  <c r="AD278" i="10"/>
  <c r="AE278" i="10" s="1"/>
  <c r="AA263" i="10"/>
  <c r="X263" i="10"/>
  <c r="AD263" i="10" s="1"/>
  <c r="AE263" i="10" s="1"/>
  <c r="U263" i="10"/>
  <c r="V263" i="10"/>
  <c r="AB263" i="10"/>
  <c r="AB412" i="10"/>
  <c r="AB404" i="10"/>
  <c r="AB396" i="10"/>
  <c r="U332" i="10"/>
  <c r="V332" i="10"/>
  <c r="X331" i="10"/>
  <c r="AD331" i="10" s="1"/>
  <c r="AE331" i="10" s="1"/>
  <c r="AA331" i="10"/>
  <c r="V326" i="10"/>
  <c r="X326" i="10"/>
  <c r="AD326" i="10" s="1"/>
  <c r="AE326" i="10" s="1"/>
  <c r="U324" i="10"/>
  <c r="V324" i="10"/>
  <c r="X323" i="10"/>
  <c r="AD323" i="10" s="1"/>
  <c r="AE323" i="10" s="1"/>
  <c r="AA323" i="10"/>
  <c r="V318" i="10"/>
  <c r="X318" i="10"/>
  <c r="AD318" i="10" s="1"/>
  <c r="AE318" i="10" s="1"/>
  <c r="U316" i="10"/>
  <c r="V316" i="10"/>
  <c r="X301" i="10"/>
  <c r="AD301" i="10" s="1"/>
  <c r="AE301" i="10" s="1"/>
  <c r="AB301" i="10"/>
  <c r="U301" i="10"/>
  <c r="V301" i="10"/>
  <c r="V288" i="10"/>
  <c r="AA288" i="10"/>
  <c r="AB288" i="10"/>
  <c r="U288" i="10"/>
  <c r="X288" i="10"/>
  <c r="AD288" i="10" s="1"/>
  <c r="AE288" i="10" s="1"/>
  <c r="U283" i="10"/>
  <c r="AB283" i="10"/>
  <c r="V283" i="10"/>
  <c r="X283" i="10"/>
  <c r="AA283" i="10"/>
  <c r="U259" i="10"/>
  <c r="X259" i="10"/>
  <c r="V259" i="10"/>
  <c r="AA259" i="10"/>
  <c r="AB259" i="10"/>
  <c r="AB417" i="10"/>
  <c r="AA412" i="10"/>
  <c r="AB409" i="10"/>
  <c r="AF408" i="10"/>
  <c r="AA404" i="10"/>
  <c r="AB401" i="10"/>
  <c r="AF400" i="10"/>
  <c r="AA396" i="10"/>
  <c r="AB393" i="10"/>
  <c r="AF392" i="10"/>
  <c r="AB382" i="10"/>
  <c r="AA378" i="10"/>
  <c r="AB369" i="10"/>
  <c r="AB365" i="10"/>
  <c r="AB356" i="10"/>
  <c r="AB352" i="10"/>
  <c r="AA348" i="10"/>
  <c r="AF331" i="10"/>
  <c r="AF326" i="10"/>
  <c r="AF325" i="10"/>
  <c r="AF323" i="10"/>
  <c r="AF318" i="10"/>
  <c r="AF317" i="10"/>
  <c r="AF300" i="10"/>
  <c r="X285" i="10"/>
  <c r="AD285" i="10" s="1"/>
  <c r="AE285" i="10" s="1"/>
  <c r="V285" i="10"/>
  <c r="AA285" i="10"/>
  <c r="AB285" i="10"/>
  <c r="U243" i="10"/>
  <c r="V243" i="10"/>
  <c r="X243" i="10"/>
  <c r="AA243" i="10"/>
  <c r="AB243" i="10"/>
  <c r="AA393" i="10"/>
  <c r="AB390" i="10"/>
  <c r="AA386" i="10"/>
  <c r="AA382" i="10"/>
  <c r="AB377" i="10"/>
  <c r="AB373" i="10"/>
  <c r="AA369" i="10"/>
  <c r="AB360" i="10"/>
  <c r="AA356" i="10"/>
  <c r="AA352" i="10"/>
  <c r="AB339" i="10"/>
  <c r="AB334" i="10"/>
  <c r="X302" i="10"/>
  <c r="U302" i="10"/>
  <c r="V302" i="10"/>
  <c r="AF281" i="10"/>
  <c r="Y279" i="10"/>
  <c r="AF279" i="10"/>
  <c r="AB414" i="10"/>
  <c r="AA409" i="10"/>
  <c r="AA401" i="10"/>
  <c r="AB419" i="10"/>
  <c r="Y417" i="10"/>
  <c r="AA414" i="10"/>
  <c r="X412" i="10"/>
  <c r="AB411" i="10"/>
  <c r="Y409" i="10"/>
  <c r="AA406" i="10"/>
  <c r="X404" i="10"/>
  <c r="AB403" i="10"/>
  <c r="Y401" i="10"/>
  <c r="AA398" i="10"/>
  <c r="X396" i="10"/>
  <c r="AB395" i="10"/>
  <c r="Y393" i="10"/>
  <c r="AA390" i="10"/>
  <c r="AB385" i="10"/>
  <c r="AB381" i="10"/>
  <c r="X378" i="10"/>
  <c r="AD378" i="10" s="1"/>
  <c r="AE378" i="10" s="1"/>
  <c r="AA377" i="10"/>
  <c r="AB372" i="10"/>
  <c r="AB368" i="10"/>
  <c r="X365" i="10"/>
  <c r="AD365" i="10" s="1"/>
  <c r="AE365" i="10" s="1"/>
  <c r="AA364" i="10"/>
  <c r="AA360" i="10"/>
  <c r="X352" i="10"/>
  <c r="AD352" i="10" s="1"/>
  <c r="AE352" i="10" s="1"/>
  <c r="X348" i="10"/>
  <c r="AB347" i="10"/>
  <c r="V344" i="10"/>
  <c r="V340" i="10"/>
  <c r="AA339" i="10"/>
  <c r="AA334" i="10"/>
  <c r="AB332" i="10"/>
  <c r="AB329" i="10"/>
  <c r="X328" i="10"/>
  <c r="AD328" i="10" s="1"/>
  <c r="AE328" i="10" s="1"/>
  <c r="AB324" i="10"/>
  <c r="AB321" i="10"/>
  <c r="X320" i="10"/>
  <c r="AD320" i="10" s="1"/>
  <c r="AE320" i="10" s="1"/>
  <c r="AB316" i="10"/>
  <c r="AB312" i="10"/>
  <c r="AF307" i="10"/>
  <c r="Y307" i="10"/>
  <c r="X306" i="10"/>
  <c r="AD306" i="10" s="1"/>
  <c r="AE306" i="10" s="1"/>
  <c r="AA306" i="10"/>
  <c r="AB306" i="10"/>
  <c r="AF301" i="10"/>
  <c r="Y297" i="10"/>
  <c r="AF297" i="10"/>
  <c r="X269" i="10"/>
  <c r="U269" i="10"/>
  <c r="V269" i="10"/>
  <c r="AA269" i="10"/>
  <c r="AB269" i="10"/>
  <c r="AA262" i="10"/>
  <c r="AB262" i="10"/>
  <c r="U262" i="10"/>
  <c r="V262" i="10"/>
  <c r="X262" i="10"/>
  <c r="AA258" i="10"/>
  <c r="AB258" i="10"/>
  <c r="U258" i="10"/>
  <c r="V258" i="10"/>
  <c r="X258" i="10"/>
  <c r="AA419" i="10"/>
  <c r="X417" i="10"/>
  <c r="AB416" i="10"/>
  <c r="V412" i="10"/>
  <c r="AA411" i="10"/>
  <c r="X409" i="10"/>
  <c r="AB408" i="10"/>
  <c r="V404" i="10"/>
  <c r="AA403" i="10"/>
  <c r="X401" i="10"/>
  <c r="AB400" i="10"/>
  <c r="V396" i="10"/>
  <c r="AA395" i="10"/>
  <c r="X393" i="10"/>
  <c r="AB392" i="10"/>
  <c r="AB389" i="10"/>
  <c r="U387" i="10"/>
  <c r="X386" i="10"/>
  <c r="AD386" i="10" s="1"/>
  <c r="AE386" i="10" s="1"/>
  <c r="AA385" i="10"/>
  <c r="X382" i="10"/>
  <c r="AB380" i="10"/>
  <c r="V378" i="10"/>
  <c r="Y377" i="10"/>
  <c r="AB376" i="10"/>
  <c r="U374" i="10"/>
  <c r="X373" i="10"/>
  <c r="AA372" i="10"/>
  <c r="U370" i="10"/>
  <c r="X369" i="10"/>
  <c r="AA368" i="10"/>
  <c r="V365" i="10"/>
  <c r="V361" i="10"/>
  <c r="X360" i="10"/>
  <c r="AD360" i="10" s="1"/>
  <c r="AE360" i="10" s="1"/>
  <c r="U357" i="10"/>
  <c r="X356" i="10"/>
  <c r="AD356" i="10" s="1"/>
  <c r="AE356" i="10" s="1"/>
  <c r="AB355" i="10"/>
  <c r="V352" i="10"/>
  <c r="V348" i="10"/>
  <c r="AA347" i="10"/>
  <c r="AB342" i="10"/>
  <c r="AA338" i="10"/>
  <c r="AA332" i="10"/>
  <c r="AB331" i="10"/>
  <c r="AA329" i="10"/>
  <c r="V328" i="10"/>
  <c r="AB326" i="10"/>
  <c r="AA324" i="10"/>
  <c r="AB323" i="10"/>
  <c r="AA321" i="10"/>
  <c r="V320" i="10"/>
  <c r="AB318" i="10"/>
  <c r="AA316" i="10"/>
  <c r="AB315" i="10"/>
  <c r="AA312" i="10"/>
  <c r="U307" i="10"/>
  <c r="V307" i="10"/>
  <c r="X307" i="10"/>
  <c r="X299" i="10"/>
  <c r="V264" i="10"/>
  <c r="U264" i="10"/>
  <c r="X264" i="10"/>
  <c r="AD264" i="10" s="1"/>
  <c r="AE264" i="10" s="1"/>
  <c r="AA264" i="10"/>
  <c r="AB264" i="10"/>
  <c r="AF257" i="10"/>
  <c r="V242" i="10"/>
  <c r="X242" i="10"/>
  <c r="U242" i="10"/>
  <c r="AA242" i="10"/>
  <c r="AB242" i="10"/>
  <c r="AA417" i="10"/>
  <c r="V417" i="10"/>
  <c r="X414" i="10"/>
  <c r="AD414" i="10" s="1"/>
  <c r="AE414" i="10" s="1"/>
  <c r="V409" i="10"/>
  <c r="X406" i="10"/>
  <c r="AD406" i="10" s="1"/>
  <c r="AE406" i="10" s="1"/>
  <c r="V401" i="10"/>
  <c r="X398" i="10"/>
  <c r="AD398" i="10" s="1"/>
  <c r="AE398" i="10" s="1"/>
  <c r="V393" i="10"/>
  <c r="X390" i="10"/>
  <c r="AD390" i="10" s="1"/>
  <c r="AE390" i="10" s="1"/>
  <c r="V386" i="10"/>
  <c r="Y385" i="10"/>
  <c r="AB384" i="10"/>
  <c r="U382" i="10"/>
  <c r="X381" i="10"/>
  <c r="AD381" i="10" s="1"/>
  <c r="AE381" i="10" s="1"/>
  <c r="U378" i="10"/>
  <c r="X377" i="10"/>
  <c r="AA376" i="10"/>
  <c r="V373" i="10"/>
  <c r="V369" i="10"/>
  <c r="X368" i="10"/>
  <c r="AD368" i="10" s="1"/>
  <c r="AE368" i="10" s="1"/>
  <c r="U365" i="10"/>
  <c r="X364" i="10"/>
  <c r="AD364" i="10" s="1"/>
  <c r="AE364" i="10" s="1"/>
  <c r="AB363" i="10"/>
  <c r="V360" i="10"/>
  <c r="V356" i="10"/>
  <c r="AA355" i="10"/>
  <c r="AB350" i="10"/>
  <c r="AA346" i="10"/>
  <c r="AA342" i="10"/>
  <c r="V339" i="10"/>
  <c r="AB337" i="10"/>
  <c r="U334" i="10"/>
  <c r="V331" i="10"/>
  <c r="Y329" i="10"/>
  <c r="U328" i="10"/>
  <c r="AA326" i="10"/>
  <c r="V323" i="10"/>
  <c r="Y321" i="10"/>
  <c r="U320" i="10"/>
  <c r="AA318" i="10"/>
  <c r="V315" i="10"/>
  <c r="AF306" i="10"/>
  <c r="V299" i="10"/>
  <c r="V298" i="10"/>
  <c r="AB298" i="10"/>
  <c r="AF288" i="10"/>
  <c r="U286" i="10"/>
  <c r="X286" i="10"/>
  <c r="AA286" i="10"/>
  <c r="AB286" i="10"/>
  <c r="AB284" i="10"/>
  <c r="AA284" i="10"/>
  <c r="V284" i="10"/>
  <c r="X284" i="10"/>
  <c r="Y280" i="10"/>
  <c r="AF280" i="10"/>
  <c r="Y260" i="10"/>
  <c r="AF260" i="10"/>
  <c r="U390" i="10"/>
  <c r="X389" i="10"/>
  <c r="AD389" i="10" s="1"/>
  <c r="AE389" i="10" s="1"/>
  <c r="U386" i="10"/>
  <c r="X385" i="10"/>
  <c r="V381" i="10"/>
  <c r="V377" i="10"/>
  <c r="U373" i="10"/>
  <c r="AA363" i="10"/>
  <c r="V347" i="10"/>
  <c r="U339" i="10"/>
  <c r="X338" i="10"/>
  <c r="AD338" i="10" s="1"/>
  <c r="AE338" i="10" s="1"/>
  <c r="X332" i="10"/>
  <c r="AD332" i="10" s="1"/>
  <c r="AE332" i="10" s="1"/>
  <c r="U331" i="10"/>
  <c r="U326" i="10"/>
  <c r="X324" i="10"/>
  <c r="U323" i="10"/>
  <c r="U318" i="10"/>
  <c r="X316" i="10"/>
  <c r="AD316" i="10" s="1"/>
  <c r="AE316" i="10" s="1"/>
  <c r="AA314" i="10"/>
  <c r="AB314" i="10"/>
  <c r="AA311" i="10"/>
  <c r="V311" i="10"/>
  <c r="X311" i="10"/>
  <c r="AA310" i="10"/>
  <c r="AB310" i="10"/>
  <c r="AB308" i="10"/>
  <c r="U308" i="10"/>
  <c r="V308" i="10"/>
  <c r="AB302" i="10"/>
  <c r="AA301" i="10"/>
  <c r="AF285" i="10"/>
  <c r="AB268" i="10"/>
  <c r="V268" i="10"/>
  <c r="X268" i="10"/>
  <c r="U268" i="10"/>
  <c r="AA268" i="10"/>
  <c r="AB260" i="10"/>
  <c r="U260" i="10"/>
  <c r="V260" i="10"/>
  <c r="X260" i="10"/>
  <c r="AA260" i="10"/>
  <c r="AF241" i="10"/>
  <c r="AA206" i="10"/>
  <c r="V206" i="10"/>
  <c r="X206" i="10"/>
  <c r="U206" i="10"/>
  <c r="AB206" i="10"/>
  <c r="V256" i="10"/>
  <c r="U256" i="10"/>
  <c r="AA255" i="10"/>
  <c r="V255" i="10"/>
  <c r="X255" i="10"/>
  <c r="AD255" i="10" s="1"/>
  <c r="AE255" i="10" s="1"/>
  <c r="AF240" i="10"/>
  <c r="AA239" i="10"/>
  <c r="U239" i="10"/>
  <c r="V238" i="10"/>
  <c r="X238" i="10"/>
  <c r="X237" i="10"/>
  <c r="AD237" i="10" s="1"/>
  <c r="AA237" i="10"/>
  <c r="AB237" i="10"/>
  <c r="U234" i="10"/>
  <c r="V234" i="10"/>
  <c r="AF255" i="10"/>
  <c r="U251" i="10"/>
  <c r="V251" i="10"/>
  <c r="X251" i="10"/>
  <c r="X250" i="10"/>
  <c r="AD250" i="10" s="1"/>
  <c r="AE250" i="10" s="1"/>
  <c r="AA250" i="10"/>
  <c r="AF237" i="10"/>
  <c r="AF236" i="10"/>
  <c r="AF234" i="10"/>
  <c r="AF233" i="10"/>
  <c r="V232" i="10"/>
  <c r="AB232" i="10"/>
  <c r="Y217" i="10"/>
  <c r="AD217" i="10" s="1"/>
  <c r="AF217" i="10"/>
  <c r="X201" i="10"/>
  <c r="AA201" i="10"/>
  <c r="V201" i="10"/>
  <c r="AB201" i="10"/>
  <c r="U201" i="10"/>
  <c r="V295" i="10"/>
  <c r="V293" i="10"/>
  <c r="V292" i="10"/>
  <c r="X290" i="10"/>
  <c r="AD290" i="10" s="1"/>
  <c r="AE290" i="10" s="1"/>
  <c r="V280" i="10"/>
  <c r="AA280" i="10"/>
  <c r="AA279" i="10"/>
  <c r="AB279" i="10"/>
  <c r="U275" i="10"/>
  <c r="AA275" i="10"/>
  <c r="AB275" i="10"/>
  <c r="X267" i="10"/>
  <c r="V266" i="10"/>
  <c r="AF253" i="10"/>
  <c r="AB252" i="10"/>
  <c r="U252" i="10"/>
  <c r="AF250" i="10"/>
  <c r="AF232" i="10"/>
  <c r="U230" i="10"/>
  <c r="V230" i="10"/>
  <c r="X229" i="10"/>
  <c r="AA229" i="10"/>
  <c r="AB228" i="10"/>
  <c r="AA228" i="10"/>
  <c r="X222" i="10"/>
  <c r="Y218" i="10"/>
  <c r="AF218" i="10"/>
  <c r="V207" i="10"/>
  <c r="U207" i="10"/>
  <c r="X207" i="10"/>
  <c r="AA207" i="10"/>
  <c r="AB203" i="10"/>
  <c r="U203" i="10"/>
  <c r="AA203" i="10"/>
  <c r="X203" i="10"/>
  <c r="AF200" i="10"/>
  <c r="AB333" i="10"/>
  <c r="AB325" i="10"/>
  <c r="AB317" i="10"/>
  <c r="U295" i="10"/>
  <c r="V290" i="10"/>
  <c r="X277" i="10"/>
  <c r="U277" i="10"/>
  <c r="V277" i="10"/>
  <c r="AB276" i="10"/>
  <c r="X276" i="10"/>
  <c r="AD276" i="10" s="1"/>
  <c r="AE276" i="10" s="1"/>
  <c r="AF274" i="10"/>
  <c r="U266" i="10"/>
  <c r="AB256" i="10"/>
  <c r="AB254" i="10"/>
  <c r="U246" i="10"/>
  <c r="AB239" i="10"/>
  <c r="AB238" i="10"/>
  <c r="AF229" i="10"/>
  <c r="AF228" i="10"/>
  <c r="AB211" i="10"/>
  <c r="U211" i="10"/>
  <c r="V211" i="10"/>
  <c r="X211" i="10"/>
  <c r="AA303" i="10"/>
  <c r="U303" i="10"/>
  <c r="AF276" i="10"/>
  <c r="V272" i="10"/>
  <c r="X272" i="10"/>
  <c r="AD272" i="10" s="1"/>
  <c r="AE272" i="10" s="1"/>
  <c r="AA271" i="10"/>
  <c r="AB271" i="10"/>
  <c r="AF267" i="10"/>
  <c r="Y267" i="10"/>
  <c r="AA256" i="10"/>
  <c r="AB255" i="10"/>
  <c r="AA247" i="10"/>
  <c r="U247" i="10"/>
  <c r="V247" i="10"/>
  <c r="AA238" i="10"/>
  <c r="AB234" i="10"/>
  <c r="AA232" i="10"/>
  <c r="V224" i="10"/>
  <c r="AA224" i="10"/>
  <c r="AB224" i="10"/>
  <c r="U219" i="10"/>
  <c r="AB219" i="10"/>
  <c r="AF202" i="10"/>
  <c r="Y202" i="10"/>
  <c r="Y198" i="10"/>
  <c r="AD198" i="10" s="1"/>
  <c r="U294" i="10"/>
  <c r="V294" i="10"/>
  <c r="X293" i="10"/>
  <c r="AA293" i="10"/>
  <c r="AB292" i="10"/>
  <c r="AA292" i="10"/>
  <c r="U267" i="10"/>
  <c r="AA267" i="10"/>
  <c r="AF259" i="10"/>
  <c r="Y259" i="10"/>
  <c r="X254" i="10"/>
  <c r="AA252" i="10"/>
  <c r="AB251" i="10"/>
  <c r="AB250" i="10"/>
  <c r="X245" i="10"/>
  <c r="AB245" i="10"/>
  <c r="X239" i="10"/>
  <c r="V237" i="10"/>
  <c r="AA234" i="10"/>
  <c r="AB230" i="10"/>
  <c r="Y227" i="10"/>
  <c r="AD227" i="10" s="1"/>
  <c r="AE227" i="10" s="1"/>
  <c r="AB226" i="10"/>
  <c r="X221" i="10"/>
  <c r="V221" i="10"/>
  <c r="AB220" i="10"/>
  <c r="AA220" i="10"/>
  <c r="AA205" i="10"/>
  <c r="V205" i="10"/>
  <c r="X205" i="10"/>
  <c r="U205" i="10"/>
  <c r="U202" i="10"/>
  <c r="V202" i="10"/>
  <c r="X202" i="10"/>
  <c r="AA202" i="10"/>
  <c r="AB202" i="10"/>
  <c r="AA198" i="10"/>
  <c r="U198" i="10"/>
  <c r="V198" i="10"/>
  <c r="AF210" i="10"/>
  <c r="Y210" i="10"/>
  <c r="V215" i="10"/>
  <c r="U215" i="10"/>
  <c r="X215" i="10"/>
  <c r="AD215" i="10" s="1"/>
  <c r="AE215" i="10" s="1"/>
  <c r="AA214" i="10"/>
  <c r="X214" i="10"/>
  <c r="AA213" i="10"/>
  <c r="AB213" i="10"/>
  <c r="U210" i="10"/>
  <c r="X210" i="10"/>
  <c r="AA209" i="10"/>
  <c r="AB209" i="10"/>
  <c r="P433" i="10"/>
  <c r="I433" i="10"/>
  <c r="F422" i="10"/>
  <c r="K422" i="10"/>
  <c r="F414" i="10"/>
  <c r="K414" i="10"/>
  <c r="E409" i="10"/>
  <c r="H409" i="10"/>
  <c r="E401" i="10"/>
  <c r="H401" i="10"/>
  <c r="F398" i="10"/>
  <c r="K398" i="10"/>
  <c r="L394" i="10"/>
  <c r="E394" i="10"/>
  <c r="K394" i="10"/>
  <c r="L386" i="10"/>
  <c r="E386" i="10"/>
  <c r="F386" i="10"/>
  <c r="K386" i="10"/>
  <c r="I382" i="10"/>
  <c r="P382" i="10"/>
  <c r="I366" i="10"/>
  <c r="P366" i="10"/>
  <c r="E345" i="10"/>
  <c r="F345" i="10"/>
  <c r="H345" i="10"/>
  <c r="K345" i="10"/>
  <c r="L345" i="10"/>
  <c r="E329" i="10"/>
  <c r="F329" i="10"/>
  <c r="H329" i="10"/>
  <c r="K329" i="10"/>
  <c r="L329" i="10"/>
  <c r="P441" i="10"/>
  <c r="I441" i="10"/>
  <c r="F438" i="10"/>
  <c r="K438" i="10"/>
  <c r="E433" i="10"/>
  <c r="H433" i="10"/>
  <c r="L426" i="10"/>
  <c r="E426" i="10"/>
  <c r="L410" i="10"/>
  <c r="E410" i="10"/>
  <c r="H403" i="10"/>
  <c r="K403" i="10"/>
  <c r="L403" i="10"/>
  <c r="H395" i="10"/>
  <c r="K395" i="10"/>
  <c r="L395" i="10"/>
  <c r="F382" i="10"/>
  <c r="L382" i="10"/>
  <c r="K382" i="10"/>
  <c r="E382" i="10"/>
  <c r="L370" i="10"/>
  <c r="E370" i="10"/>
  <c r="F370" i="10"/>
  <c r="K370" i="10"/>
  <c r="F366" i="10"/>
  <c r="L366" i="10"/>
  <c r="K366" i="10"/>
  <c r="E366" i="10"/>
  <c r="F406" i="10"/>
  <c r="K406" i="10"/>
  <c r="H427" i="10"/>
  <c r="K427" i="10"/>
  <c r="L427" i="10"/>
  <c r="L418" i="10"/>
  <c r="E418" i="10"/>
  <c r="L402" i="10"/>
  <c r="E402" i="10"/>
  <c r="P449" i="10"/>
  <c r="I449" i="10"/>
  <c r="F446" i="10"/>
  <c r="K446" i="10"/>
  <c r="E441" i="10"/>
  <c r="H441" i="10"/>
  <c r="P438" i="10"/>
  <c r="F436" i="10"/>
  <c r="H436" i="10"/>
  <c r="H435" i="10"/>
  <c r="K435" i="10"/>
  <c r="L435" i="10"/>
  <c r="L434" i="10"/>
  <c r="E434" i="10"/>
  <c r="P432" i="10"/>
  <c r="L393" i="10"/>
  <c r="I391" i="10"/>
  <c r="N391" i="10" s="1"/>
  <c r="L385" i="10"/>
  <c r="P379" i="10"/>
  <c r="E377" i="10"/>
  <c r="H377" i="10"/>
  <c r="K377" i="10"/>
  <c r="P363" i="10"/>
  <c r="E361" i="10"/>
  <c r="H361" i="10"/>
  <c r="K361" i="10"/>
  <c r="F430" i="10"/>
  <c r="K430" i="10"/>
  <c r="F420" i="10"/>
  <c r="H420" i="10"/>
  <c r="F412" i="10"/>
  <c r="H412" i="10"/>
  <c r="N412" i="10" s="1"/>
  <c r="F404" i="10"/>
  <c r="H404" i="10"/>
  <c r="F396" i="10"/>
  <c r="H396" i="10"/>
  <c r="N396" i="10" s="1"/>
  <c r="P446" i="10"/>
  <c r="H443" i="10"/>
  <c r="K443" i="10"/>
  <c r="L443" i="10"/>
  <c r="K393" i="10"/>
  <c r="I390" i="10"/>
  <c r="N390" i="10" s="1"/>
  <c r="P390" i="10"/>
  <c r="E353" i="10"/>
  <c r="H353" i="10"/>
  <c r="K353" i="10"/>
  <c r="L353" i="10"/>
  <c r="I350" i="10"/>
  <c r="P350" i="10"/>
  <c r="I334" i="10"/>
  <c r="P334" i="10"/>
  <c r="P322" i="10"/>
  <c r="E425" i="10"/>
  <c r="H425" i="10"/>
  <c r="E417" i="10"/>
  <c r="H417" i="10"/>
  <c r="F428" i="10"/>
  <c r="H428" i="10"/>
  <c r="H419" i="10"/>
  <c r="K419" i="10"/>
  <c r="L419" i="10"/>
  <c r="H411" i="10"/>
  <c r="K411" i="10"/>
  <c r="L411" i="10"/>
  <c r="E449" i="10"/>
  <c r="H449" i="10"/>
  <c r="F444" i="10"/>
  <c r="H444" i="10"/>
  <c r="L442" i="10"/>
  <c r="E442" i="10"/>
  <c r="P440" i="10"/>
  <c r="L450" i="10"/>
  <c r="E450" i="10"/>
  <c r="P448" i="10"/>
  <c r="L430" i="10"/>
  <c r="N429" i="10"/>
  <c r="L428" i="10"/>
  <c r="K426" i="10"/>
  <c r="L425" i="10"/>
  <c r="I423" i="10"/>
  <c r="L422" i="10"/>
  <c r="L420" i="10"/>
  <c r="K418" i="10"/>
  <c r="L417" i="10"/>
  <c r="I415" i="10"/>
  <c r="L414" i="10"/>
  <c r="L412" i="10"/>
  <c r="K410" i="10"/>
  <c r="L409" i="10"/>
  <c r="I407" i="10"/>
  <c r="N407" i="10" s="1"/>
  <c r="L406" i="10"/>
  <c r="L404" i="10"/>
  <c r="K402" i="10"/>
  <c r="L401" i="10"/>
  <c r="L398" i="10"/>
  <c r="L396" i="10"/>
  <c r="F390" i="10"/>
  <c r="K390" i="10"/>
  <c r="E390" i="10"/>
  <c r="I374" i="10"/>
  <c r="N374" i="10" s="1"/>
  <c r="P374" i="10"/>
  <c r="I358" i="10"/>
  <c r="N358" i="10" s="1"/>
  <c r="P358" i="10"/>
  <c r="E337" i="10"/>
  <c r="F337" i="10"/>
  <c r="H337" i="10"/>
  <c r="K337" i="10"/>
  <c r="L337" i="10"/>
  <c r="E385" i="10"/>
  <c r="H385" i="10"/>
  <c r="K385" i="10"/>
  <c r="L378" i="10"/>
  <c r="E378" i="10"/>
  <c r="F378" i="10"/>
  <c r="K378" i="10"/>
  <c r="F374" i="10"/>
  <c r="K374" i="10"/>
  <c r="L374" i="10"/>
  <c r="E374" i="10"/>
  <c r="L362" i="10"/>
  <c r="E362" i="10"/>
  <c r="F362" i="10"/>
  <c r="K362" i="10"/>
  <c r="F358" i="10"/>
  <c r="K358" i="10"/>
  <c r="L358" i="10"/>
  <c r="E358" i="10"/>
  <c r="I439" i="10"/>
  <c r="E430" i="10"/>
  <c r="F425" i="10"/>
  <c r="E422" i="10"/>
  <c r="F419" i="10"/>
  <c r="H418" i="10"/>
  <c r="N418" i="10" s="1"/>
  <c r="F417" i="10"/>
  <c r="E414" i="10"/>
  <c r="F411" i="10"/>
  <c r="H410" i="10"/>
  <c r="N410" i="10" s="1"/>
  <c r="F409" i="10"/>
  <c r="E406" i="10"/>
  <c r="F403" i="10"/>
  <c r="H402" i="10"/>
  <c r="F401" i="10"/>
  <c r="E398" i="10"/>
  <c r="F395" i="10"/>
  <c r="F394" i="10"/>
  <c r="E393" i="10"/>
  <c r="H393" i="10"/>
  <c r="H386" i="10"/>
  <c r="E369" i="10"/>
  <c r="H369" i="10"/>
  <c r="K369" i="10"/>
  <c r="N331" i="10"/>
  <c r="F318" i="10"/>
  <c r="E318" i="10"/>
  <c r="H318" i="10"/>
  <c r="N318" i="10" s="1"/>
  <c r="K318" i="10"/>
  <c r="L318" i="10"/>
  <c r="I447" i="10"/>
  <c r="E438" i="10"/>
  <c r="F433" i="10"/>
  <c r="E428" i="10"/>
  <c r="E427" i="10"/>
  <c r="F426" i="10"/>
  <c r="P425" i="10"/>
  <c r="I425" i="10"/>
  <c r="E420" i="10"/>
  <c r="E419" i="10"/>
  <c r="F418" i="10"/>
  <c r="P417" i="10"/>
  <c r="I417" i="10"/>
  <c r="E412" i="10"/>
  <c r="E411" i="10"/>
  <c r="F410" i="10"/>
  <c r="P409" i="10"/>
  <c r="I409" i="10"/>
  <c r="E404" i="10"/>
  <c r="E403" i="10"/>
  <c r="F402" i="10"/>
  <c r="P401" i="10"/>
  <c r="I401" i="10"/>
  <c r="E396" i="10"/>
  <c r="E395" i="10"/>
  <c r="P392" i="10"/>
  <c r="H382" i="10"/>
  <c r="L377" i="10"/>
  <c r="H370" i="10"/>
  <c r="N370" i="10" s="1"/>
  <c r="H366" i="10"/>
  <c r="L361" i="10"/>
  <c r="L354" i="10"/>
  <c r="E354" i="10"/>
  <c r="F354" i="10"/>
  <c r="H354" i="10"/>
  <c r="K354" i="10"/>
  <c r="P351" i="10"/>
  <c r="I351" i="10"/>
  <c r="I342" i="10"/>
  <c r="P342" i="10"/>
  <c r="I326" i="10"/>
  <c r="P326" i="10"/>
  <c r="F387" i="10"/>
  <c r="F379" i="10"/>
  <c r="F371" i="10"/>
  <c r="F363" i="10"/>
  <c r="F355" i="10"/>
  <c r="E350" i="10"/>
  <c r="F347" i="10"/>
  <c r="K346" i="10"/>
  <c r="E342" i="10"/>
  <c r="F339" i="10"/>
  <c r="K338" i="10"/>
  <c r="E334" i="10"/>
  <c r="F331" i="10"/>
  <c r="K330" i="10"/>
  <c r="E326" i="10"/>
  <c r="K324" i="10"/>
  <c r="E322" i="10"/>
  <c r="H321" i="10"/>
  <c r="F317" i="10"/>
  <c r="F313" i="10"/>
  <c r="E309" i="10"/>
  <c r="F308" i="10"/>
  <c r="I307" i="10"/>
  <c r="P294" i="10"/>
  <c r="P293" i="10"/>
  <c r="I283" i="10"/>
  <c r="N283" i="10" s="1"/>
  <c r="E281" i="10"/>
  <c r="H281" i="10"/>
  <c r="K281" i="10"/>
  <c r="L281" i="10"/>
  <c r="E273" i="10"/>
  <c r="F273" i="10"/>
  <c r="K273" i="10"/>
  <c r="N262" i="10"/>
  <c r="L260" i="10"/>
  <c r="E260" i="10"/>
  <c r="F260" i="10"/>
  <c r="H260" i="10"/>
  <c r="L250" i="10"/>
  <c r="E250" i="10"/>
  <c r="F250" i="10"/>
  <c r="H250" i="10"/>
  <c r="N250" i="10" s="1"/>
  <c r="I237" i="10"/>
  <c r="P237" i="10"/>
  <c r="K277" i="10"/>
  <c r="F277" i="10"/>
  <c r="L277" i="10"/>
  <c r="P257" i="10"/>
  <c r="I257" i="10"/>
  <c r="I248" i="10"/>
  <c r="P248" i="10"/>
  <c r="F240" i="10"/>
  <c r="E240" i="10"/>
  <c r="H240" i="10"/>
  <c r="N240" i="10" s="1"/>
  <c r="K240" i="10"/>
  <c r="H346" i="10"/>
  <c r="N346" i="10" s="1"/>
  <c r="P344" i="10"/>
  <c r="I343" i="10"/>
  <c r="H338" i="10"/>
  <c r="N338" i="10" s="1"/>
  <c r="P336" i="10"/>
  <c r="I335" i="10"/>
  <c r="H330" i="10"/>
  <c r="N330" i="10" s="1"/>
  <c r="I327" i="10"/>
  <c r="H324" i="10"/>
  <c r="L282" i="10"/>
  <c r="E282" i="10"/>
  <c r="H282" i="10"/>
  <c r="N282" i="10" s="1"/>
  <c r="F278" i="10"/>
  <c r="H278" i="10"/>
  <c r="N278" i="10" s="1"/>
  <c r="H275" i="10"/>
  <c r="N275" i="10" s="1"/>
  <c r="E275" i="10"/>
  <c r="L274" i="10"/>
  <c r="F274" i="10"/>
  <c r="H274" i="10"/>
  <c r="N274" i="10" s="1"/>
  <c r="F338" i="10"/>
  <c r="L334" i="10"/>
  <c r="F330" i="10"/>
  <c r="L326" i="10"/>
  <c r="F324" i="10"/>
  <c r="K314" i="10"/>
  <c r="H307" i="10"/>
  <c r="F307" i="10"/>
  <c r="L307" i="10"/>
  <c r="E305" i="10"/>
  <c r="L305" i="10"/>
  <c r="H290" i="10"/>
  <c r="N290" i="10" s="1"/>
  <c r="P289" i="10"/>
  <c r="I289" i="10"/>
  <c r="K285" i="10"/>
  <c r="H285" i="10"/>
  <c r="N285" i="10" s="1"/>
  <c r="L285" i="10"/>
  <c r="L258" i="10"/>
  <c r="E258" i="10"/>
  <c r="F258" i="10"/>
  <c r="H258" i="10"/>
  <c r="N258" i="10" s="1"/>
  <c r="K258" i="10"/>
  <c r="L350" i="10"/>
  <c r="F346" i="10"/>
  <c r="F447" i="10"/>
  <c r="F431" i="10"/>
  <c r="H388" i="10"/>
  <c r="L387" i="10"/>
  <c r="I385" i="10"/>
  <c r="H380" i="10"/>
  <c r="N380" i="10" s="1"/>
  <c r="L379" i="10"/>
  <c r="I377" i="10"/>
  <c r="F375" i="10"/>
  <c r="H372" i="10"/>
  <c r="N372" i="10" s="1"/>
  <c r="L371" i="10"/>
  <c r="I369" i="10"/>
  <c r="F367" i="10"/>
  <c r="H364" i="10"/>
  <c r="N364" i="10" s="1"/>
  <c r="L363" i="10"/>
  <c r="I361" i="10"/>
  <c r="F359" i="10"/>
  <c r="H356" i="10"/>
  <c r="L355" i="10"/>
  <c r="I353" i="10"/>
  <c r="F351" i="10"/>
  <c r="K350" i="10"/>
  <c r="H348" i="10"/>
  <c r="L347" i="10"/>
  <c r="E346" i="10"/>
  <c r="I345" i="10"/>
  <c r="F343" i="10"/>
  <c r="K342" i="10"/>
  <c r="H340" i="10"/>
  <c r="L339" i="10"/>
  <c r="E338" i="10"/>
  <c r="I337" i="10"/>
  <c r="K334" i="10"/>
  <c r="H332" i="10"/>
  <c r="L331" i="10"/>
  <c r="E330" i="10"/>
  <c r="I329" i="10"/>
  <c r="F327" i="10"/>
  <c r="K326" i="10"/>
  <c r="E324" i="10"/>
  <c r="K322" i="10"/>
  <c r="F315" i="10"/>
  <c r="L313" i="10"/>
  <c r="L309" i="10"/>
  <c r="P306" i="10"/>
  <c r="P304" i="10"/>
  <c r="P303" i="10"/>
  <c r="E289" i="10"/>
  <c r="L289" i="10"/>
  <c r="F286" i="10"/>
  <c r="E286" i="10"/>
  <c r="K286" i="10"/>
  <c r="P282" i="10"/>
  <c r="F264" i="10"/>
  <c r="K264" i="10"/>
  <c r="L264" i="10"/>
  <c r="F439" i="10"/>
  <c r="I393" i="10"/>
  <c r="K387" i="10"/>
  <c r="K379" i="10"/>
  <c r="K371" i="10"/>
  <c r="K363" i="10"/>
  <c r="K355" i="10"/>
  <c r="K347" i="10"/>
  <c r="K339" i="10"/>
  <c r="K331" i="10"/>
  <c r="F323" i="10"/>
  <c r="L321" i="10"/>
  <c r="L317" i="10"/>
  <c r="E315" i="10"/>
  <c r="H314" i="10"/>
  <c r="K313" i="10"/>
  <c r="H310" i="10"/>
  <c r="N310" i="10" s="1"/>
  <c r="L308" i="10"/>
  <c r="P302" i="10"/>
  <c r="K301" i="10"/>
  <c r="L301" i="10"/>
  <c r="H299" i="10"/>
  <c r="N299" i="10" s="1"/>
  <c r="E299" i="10"/>
  <c r="K299" i="10"/>
  <c r="L298" i="10"/>
  <c r="H298" i="10"/>
  <c r="P285" i="10"/>
  <c r="I281" i="10"/>
  <c r="N276" i="10"/>
  <c r="L275" i="10"/>
  <c r="L273" i="10"/>
  <c r="E265" i="10"/>
  <c r="H265" i="10"/>
  <c r="P263" i="10"/>
  <c r="K260" i="10"/>
  <c r="F238" i="10"/>
  <c r="H238" i="10"/>
  <c r="N238" i="10" s="1"/>
  <c r="K238" i="10"/>
  <c r="L238" i="10"/>
  <c r="E238" i="10"/>
  <c r="F314" i="10"/>
  <c r="I313" i="10"/>
  <c r="L290" i="10"/>
  <c r="F290" i="10"/>
  <c r="K290" i="10"/>
  <c r="P286" i="10"/>
  <c r="L278" i="10"/>
  <c r="H277" i="10"/>
  <c r="K275" i="10"/>
  <c r="K274" i="10"/>
  <c r="H268" i="10"/>
  <c r="N268" i="10" s="1"/>
  <c r="K268" i="10"/>
  <c r="L268" i="10"/>
  <c r="P264" i="10"/>
  <c r="E259" i="10"/>
  <c r="H259" i="10"/>
  <c r="F259" i="10"/>
  <c r="K259" i="10"/>
  <c r="K250" i="10"/>
  <c r="F322" i="10"/>
  <c r="I321" i="10"/>
  <c r="H317" i="10"/>
  <c r="N317" i="10" s="1"/>
  <c r="E314" i="10"/>
  <c r="H313" i="10"/>
  <c r="F309" i="10"/>
  <c r="K307" i="10"/>
  <c r="L302" i="10"/>
  <c r="F294" i="10"/>
  <c r="H294" i="10"/>
  <c r="L294" i="10"/>
  <c r="L292" i="10"/>
  <c r="E292" i="10"/>
  <c r="H291" i="10"/>
  <c r="F291" i="10"/>
  <c r="K282" i="10"/>
  <c r="K278" i="10"/>
  <c r="E277" i="10"/>
  <c r="P273" i="10"/>
  <c r="I273" i="10"/>
  <c r="N273" i="10" s="1"/>
  <c r="H272" i="10"/>
  <c r="L272" i="10"/>
  <c r="K269" i="10"/>
  <c r="E269" i="10"/>
  <c r="H269" i="10"/>
  <c r="P258" i="10"/>
  <c r="F256" i="10"/>
  <c r="H256" i="10"/>
  <c r="N256" i="10" s="1"/>
  <c r="K256" i="10"/>
  <c r="L256" i="10"/>
  <c r="L240" i="10"/>
  <c r="E227" i="10"/>
  <c r="K206" i="10"/>
  <c r="E206" i="10"/>
  <c r="F206" i="10"/>
  <c r="F204" i="10"/>
  <c r="K204" i="10"/>
  <c r="L204" i="10"/>
  <c r="F229" i="10"/>
  <c r="H229" i="10"/>
  <c r="K228" i="10"/>
  <c r="F228" i="10"/>
  <c r="P224" i="10"/>
  <c r="I224" i="10"/>
  <c r="F283" i="10"/>
  <c r="H270" i="10"/>
  <c r="F266" i="10"/>
  <c r="I265" i="10"/>
  <c r="E262" i="10"/>
  <c r="I251" i="10"/>
  <c r="L248" i="10"/>
  <c r="E244" i="10"/>
  <c r="H237" i="10"/>
  <c r="K237" i="10"/>
  <c r="E234" i="10"/>
  <c r="E224" i="10"/>
  <c r="F224" i="10"/>
  <c r="H223" i="10"/>
  <c r="L223" i="10"/>
  <c r="F215" i="10"/>
  <c r="H215" i="10"/>
  <c r="K215" i="10"/>
  <c r="H210" i="10"/>
  <c r="K210" i="10"/>
  <c r="L210" i="10"/>
  <c r="K248" i="10"/>
  <c r="H245" i="10"/>
  <c r="N245" i="10" s="1"/>
  <c r="K245" i="10"/>
  <c r="E235" i="10"/>
  <c r="H235" i="10"/>
  <c r="L229" i="10"/>
  <c r="K227" i="10"/>
  <c r="L225" i="10"/>
  <c r="F225" i="10"/>
  <c r="P223" i="10"/>
  <c r="K220" i="10"/>
  <c r="E220" i="10"/>
  <c r="H220" i="10"/>
  <c r="H219" i="10"/>
  <c r="K219" i="10"/>
  <c r="E216" i="10"/>
  <c r="F216" i="10"/>
  <c r="H216" i="10"/>
  <c r="K212" i="10"/>
  <c r="E212" i="10"/>
  <c r="F212" i="10"/>
  <c r="F211" i="10"/>
  <c r="H211" i="10"/>
  <c r="H253" i="10"/>
  <c r="N253" i="10" s="1"/>
  <c r="K253" i="10"/>
  <c r="H248" i="10"/>
  <c r="E243" i="10"/>
  <c r="H243" i="10"/>
  <c r="K229" i="10"/>
  <c r="L228" i="10"/>
  <c r="P215" i="10"/>
  <c r="L206" i="10"/>
  <c r="H204" i="10"/>
  <c r="H201" i="10"/>
  <c r="E201" i="10"/>
  <c r="F201" i="10"/>
  <c r="L200" i="10"/>
  <c r="F200" i="10"/>
  <c r="H200" i="10"/>
  <c r="L267" i="10"/>
  <c r="H261" i="10"/>
  <c r="K261" i="10"/>
  <c r="L254" i="10"/>
  <c r="E251" i="10"/>
  <c r="H251" i="10"/>
  <c r="E248" i="10"/>
  <c r="K246" i="10"/>
  <c r="P242" i="10"/>
  <c r="L237" i="10"/>
  <c r="K236" i="10"/>
  <c r="P232" i="10"/>
  <c r="H228" i="10"/>
  <c r="H227" i="10"/>
  <c r="N227" i="10" s="1"/>
  <c r="K226" i="10"/>
  <c r="H206" i="10"/>
  <c r="E204" i="10"/>
  <c r="F227" i="10"/>
  <c r="E221" i="10"/>
  <c r="E217" i="10"/>
  <c r="F208" i="10"/>
  <c r="K203" i="10"/>
  <c r="F203" i="10"/>
  <c r="E207" i="10"/>
  <c r="H207" i="10"/>
  <c r="N47" i="1"/>
  <c r="V47" i="1" s="1"/>
  <c r="N48" i="1"/>
  <c r="V48" i="1" s="1"/>
  <c r="N49" i="1"/>
  <c r="T49" i="1" s="1"/>
  <c r="N50" i="1"/>
  <c r="R50" i="1" s="1"/>
  <c r="AD287" i="10" l="1"/>
  <c r="AE287" i="10" s="1"/>
  <c r="N223" i="10"/>
  <c r="N294" i="10"/>
  <c r="AD266" i="10"/>
  <c r="AE266" i="10" s="1"/>
  <c r="N239" i="10"/>
  <c r="N405" i="10"/>
  <c r="N341" i="10"/>
  <c r="O341" i="10" s="1"/>
  <c r="AD325" i="10"/>
  <c r="AE325" i="10" s="1"/>
  <c r="N309" i="10"/>
  <c r="N311" i="10"/>
  <c r="N221" i="10"/>
  <c r="N255" i="10"/>
  <c r="N319" i="10"/>
  <c r="N325" i="10"/>
  <c r="N225" i="10"/>
  <c r="O225" i="10" s="1"/>
  <c r="AD232" i="10"/>
  <c r="AE232" i="10" s="1"/>
  <c r="AD244" i="10"/>
  <c r="AE244" i="10" s="1"/>
  <c r="AD240" i="10"/>
  <c r="AE240" i="10" s="1"/>
  <c r="AE246" i="10"/>
  <c r="AD242" i="10"/>
  <c r="AE242" i="10" s="1"/>
  <c r="AD229" i="10"/>
  <c r="AE229" i="10" s="1"/>
  <c r="AD298" i="10"/>
  <c r="AE298" i="10" s="1"/>
  <c r="AD233" i="10"/>
  <c r="AE233" i="10" s="1"/>
  <c r="AD214" i="10"/>
  <c r="AE214" i="10" s="1"/>
  <c r="N210" i="10"/>
  <c r="N215" i="10"/>
  <c r="O215" i="10" s="1"/>
  <c r="N214" i="10"/>
  <c r="O214" i="10" s="1"/>
  <c r="AD212" i="10"/>
  <c r="AD251" i="10"/>
  <c r="AE251" i="10" s="1"/>
  <c r="N350" i="10"/>
  <c r="O350" i="10" s="1"/>
  <c r="AE236" i="10"/>
  <c r="N327" i="10"/>
  <c r="O327" i="10" s="1"/>
  <c r="AE237" i="10"/>
  <c r="AE234" i="10"/>
  <c r="AD211" i="10"/>
  <c r="AE211" i="10" s="1"/>
  <c r="AD230" i="10"/>
  <c r="AE230" i="10" s="1"/>
  <c r="N431" i="10"/>
  <c r="O431" i="10" s="1"/>
  <c r="N298" i="10"/>
  <c r="N415" i="10"/>
  <c r="O415" i="10" s="1"/>
  <c r="AD238" i="10"/>
  <c r="AE238" i="10" s="1"/>
  <c r="N439" i="10"/>
  <c r="O439" i="10" s="1"/>
  <c r="AD235" i="10"/>
  <c r="AE235" i="10" s="1"/>
  <c r="AD209" i="10"/>
  <c r="AE209" i="10" s="1"/>
  <c r="AD201" i="10"/>
  <c r="AE201" i="10" s="1"/>
  <c r="AD221" i="10"/>
  <c r="AE221" i="10" s="1"/>
  <c r="AD218" i="10"/>
  <c r="AE218" i="10" s="1"/>
  <c r="N314" i="10"/>
  <c r="O314" i="10" s="1"/>
  <c r="N348" i="10"/>
  <c r="O348" i="10" s="1"/>
  <c r="N209" i="10"/>
  <c r="O209" i="10" s="1"/>
  <c r="N205" i="10"/>
  <c r="O205" i="10" s="1"/>
  <c r="AE220" i="10"/>
  <c r="AE228" i="10"/>
  <c r="AE217" i="10"/>
  <c r="AE223" i="10"/>
  <c r="AE219" i="10"/>
  <c r="N349" i="10"/>
  <c r="O349" i="10" s="1"/>
  <c r="N397" i="10"/>
  <c r="O397" i="10" s="1"/>
  <c r="AE226" i="10"/>
  <c r="N207" i="10"/>
  <c r="O207" i="10" s="1"/>
  <c r="AD311" i="10"/>
  <c r="AE311" i="10" s="1"/>
  <c r="AD206" i="10"/>
  <c r="AE206" i="10" s="1"/>
  <c r="O293" i="10"/>
  <c r="N403" i="10"/>
  <c r="O403" i="10" s="1"/>
  <c r="N416" i="10"/>
  <c r="O416" i="10" s="1"/>
  <c r="N270" i="10"/>
  <c r="O270" i="10" s="1"/>
  <c r="N243" i="10"/>
  <c r="O243" i="10" s="1"/>
  <c r="N383" i="10"/>
  <c r="O383" i="10" s="1"/>
  <c r="N381" i="10"/>
  <c r="O381" i="10" s="1"/>
  <c r="N241" i="10"/>
  <c r="O241" i="10" s="1"/>
  <c r="O247" i="10"/>
  <c r="N435" i="10"/>
  <c r="O435" i="10" s="1"/>
  <c r="AE198" i="10"/>
  <c r="AE208" i="10"/>
  <c r="AE212" i="10"/>
  <c r="N220" i="10"/>
  <c r="O220" i="10" s="1"/>
  <c r="N292" i="10"/>
  <c r="O292" i="10" s="1"/>
  <c r="O391" i="10"/>
  <c r="N436" i="10"/>
  <c r="O436" i="10" s="1"/>
  <c r="N395" i="10"/>
  <c r="O395" i="10" s="1"/>
  <c r="N419" i="10"/>
  <c r="O419" i="10" s="1"/>
  <c r="N354" i="10"/>
  <c r="O354" i="10" s="1"/>
  <c r="AD297" i="10"/>
  <c r="AE297" i="10" s="1"/>
  <c r="N269" i="10"/>
  <c r="O269" i="10" s="1"/>
  <c r="AD224" i="10"/>
  <c r="AE224" i="10" s="1"/>
  <c r="AD303" i="10"/>
  <c r="AE303" i="10" s="1"/>
  <c r="AD284" i="10"/>
  <c r="AE284" i="10" s="1"/>
  <c r="AD243" i="10"/>
  <c r="AE243" i="10" s="1"/>
  <c r="O413" i="10"/>
  <c r="N423" i="10"/>
  <c r="O423" i="10" s="1"/>
  <c r="AD324" i="10"/>
  <c r="AE324" i="10" s="1"/>
  <c r="AD225" i="10"/>
  <c r="AE225" i="10" s="1"/>
  <c r="N334" i="10"/>
  <c r="O334" i="10" s="1"/>
  <c r="N421" i="10"/>
  <c r="O421" i="10" s="1"/>
  <c r="N202" i="10"/>
  <c r="O202" i="10" s="1"/>
  <c r="AD337" i="10"/>
  <c r="AE337" i="10" s="1"/>
  <c r="O432" i="10"/>
  <c r="O364" i="10"/>
  <c r="O408" i="10"/>
  <c r="AD273" i="10"/>
  <c r="AE273" i="10" s="1"/>
  <c r="N260" i="10"/>
  <c r="O260" i="10" s="1"/>
  <c r="N351" i="10"/>
  <c r="O351" i="10" s="1"/>
  <c r="AD359" i="10"/>
  <c r="AE359" i="10" s="1"/>
  <c r="N244" i="10"/>
  <c r="O244" i="10" s="1"/>
  <c r="N291" i="10"/>
  <c r="O291" i="10" s="1"/>
  <c r="O315" i="10"/>
  <c r="N259" i="10"/>
  <c r="O259" i="10" s="1"/>
  <c r="N295" i="10"/>
  <c r="O295" i="10" s="1"/>
  <c r="N402" i="10"/>
  <c r="O402" i="10" s="1"/>
  <c r="N404" i="10"/>
  <c r="O404" i="10" s="1"/>
  <c r="N246" i="10"/>
  <c r="O246" i="10" s="1"/>
  <c r="N356" i="10"/>
  <c r="O356" i="10" s="1"/>
  <c r="AD382" i="10"/>
  <c r="AE382" i="10" s="1"/>
  <c r="N335" i="10"/>
  <c r="O335" i="10" s="1"/>
  <c r="AD354" i="10"/>
  <c r="AE354" i="10" s="1"/>
  <c r="N326" i="10"/>
  <c r="O326" i="10" s="1"/>
  <c r="AD207" i="10"/>
  <c r="AE207" i="10" s="1"/>
  <c r="O344" i="10"/>
  <c r="N257" i="10"/>
  <c r="O257" i="10" s="1"/>
  <c r="AD277" i="10"/>
  <c r="AE277" i="10" s="1"/>
  <c r="AD254" i="10"/>
  <c r="AE254" i="10" s="1"/>
  <c r="AD345" i="10"/>
  <c r="AE345" i="10" s="1"/>
  <c r="N287" i="10"/>
  <c r="O287" i="10" s="1"/>
  <c r="N213" i="10"/>
  <c r="O213" i="10" s="1"/>
  <c r="N233" i="10"/>
  <c r="O233" i="10" s="1"/>
  <c r="O303" i="10"/>
  <c r="AD245" i="10"/>
  <c r="AE245" i="10" s="1"/>
  <c r="AD369" i="10"/>
  <c r="AE369" i="10" s="1"/>
  <c r="N235" i="10"/>
  <c r="O235" i="10" s="1"/>
  <c r="N305" i="10"/>
  <c r="O305" i="10" s="1"/>
  <c r="AD375" i="10"/>
  <c r="AE375" i="10" s="1"/>
  <c r="AD334" i="10"/>
  <c r="AE334" i="10" s="1"/>
  <c r="AD351" i="10"/>
  <c r="AE351" i="10" s="1"/>
  <c r="AD271" i="10"/>
  <c r="AE271" i="10" s="1"/>
  <c r="AD275" i="10"/>
  <c r="AE275" i="10" s="1"/>
  <c r="AD269" i="10"/>
  <c r="AE269" i="10" s="1"/>
  <c r="O372" i="10"/>
  <c r="AD413" i="10"/>
  <c r="AE413" i="10" s="1"/>
  <c r="O304" i="10"/>
  <c r="AD203" i="10"/>
  <c r="AE203" i="10" s="1"/>
  <c r="AD258" i="10"/>
  <c r="AE258" i="10" s="1"/>
  <c r="O222" i="10"/>
  <c r="AD296" i="10"/>
  <c r="AE296" i="10" s="1"/>
  <c r="AD222" i="10"/>
  <c r="AE222" i="10" s="1"/>
  <c r="AD380" i="10"/>
  <c r="AE380" i="10" s="1"/>
  <c r="N203" i="10"/>
  <c r="O203" i="10" s="1"/>
  <c r="N201" i="10"/>
  <c r="O201" i="10" s="1"/>
  <c r="N324" i="10"/>
  <c r="O324" i="10" s="1"/>
  <c r="N443" i="10"/>
  <c r="O443" i="10" s="1"/>
  <c r="N340" i="10"/>
  <c r="O340" i="10" s="1"/>
  <c r="N444" i="10"/>
  <c r="O444" i="10" s="1"/>
  <c r="O325" i="10"/>
  <c r="N200" i="10"/>
  <c r="O200" i="10" s="1"/>
  <c r="N271" i="10"/>
  <c r="O271" i="10" s="1"/>
  <c r="AD265" i="10"/>
  <c r="AE265" i="10" s="1"/>
  <c r="AD205" i="10"/>
  <c r="AE205" i="10" s="1"/>
  <c r="AD394" i="10"/>
  <c r="AE394" i="10" s="1"/>
  <c r="O249" i="10"/>
  <c r="O392" i="10"/>
  <c r="N447" i="10"/>
  <c r="O447" i="10" s="1"/>
  <c r="AD299" i="10"/>
  <c r="AE299" i="10" s="1"/>
  <c r="O380" i="10"/>
  <c r="N289" i="10"/>
  <c r="O289" i="10" s="1"/>
  <c r="O389" i="10"/>
  <c r="O254" i="10"/>
  <c r="AD294" i="10"/>
  <c r="AE294" i="10" s="1"/>
  <c r="O284" i="10"/>
  <c r="O446" i="10"/>
  <c r="O450" i="10"/>
  <c r="O352" i="10"/>
  <c r="AD262" i="10"/>
  <c r="AE262" i="10" s="1"/>
  <c r="O376" i="10"/>
  <c r="AD302" i="10"/>
  <c r="AE302" i="10" s="1"/>
  <c r="N234" i="10"/>
  <c r="O234" i="10" s="1"/>
  <c r="AD391" i="10"/>
  <c r="AE391" i="10" s="1"/>
  <c r="O288" i="10"/>
  <c r="O448" i="10"/>
  <c r="AD353" i="10"/>
  <c r="AE353" i="10" s="1"/>
  <c r="AD357" i="10"/>
  <c r="AE357" i="10" s="1"/>
  <c r="O437" i="10"/>
  <c r="O255" i="10"/>
  <c r="AD213" i="10"/>
  <c r="AE213" i="10" s="1"/>
  <c r="O368" i="10"/>
  <c r="N367" i="10"/>
  <c r="O367" i="10" s="1"/>
  <c r="AJ47" i="1"/>
  <c r="R48" i="1"/>
  <c r="AH48" i="1"/>
  <c r="AB48" i="1"/>
  <c r="P47" i="1"/>
  <c r="T48" i="1"/>
  <c r="P48" i="1"/>
  <c r="AL50" i="1"/>
  <c r="AF49" i="1"/>
  <c r="AF47" i="1"/>
  <c r="AL47" i="1"/>
  <c r="AH47" i="1"/>
  <c r="AJ50" i="1"/>
  <c r="P49" i="1"/>
  <c r="AD47" i="1"/>
  <c r="Z48" i="1"/>
  <c r="Z50" i="1"/>
  <c r="AJ48" i="1"/>
  <c r="AF48" i="1"/>
  <c r="T47" i="1"/>
  <c r="N211" i="10"/>
  <c r="O211" i="10" s="1"/>
  <c r="N343" i="10"/>
  <c r="O343" i="10" s="1"/>
  <c r="O283" i="10"/>
  <c r="O221" i="10"/>
  <c r="O320" i="10"/>
  <c r="AD330" i="10"/>
  <c r="AE330" i="10" s="1"/>
  <c r="AD304" i="10"/>
  <c r="AE304" i="10" s="1"/>
  <c r="N359" i="10"/>
  <c r="O359" i="10" s="1"/>
  <c r="AD286" i="10"/>
  <c r="AE286" i="10" s="1"/>
  <c r="AD291" i="10"/>
  <c r="AE291" i="10" s="1"/>
  <c r="N224" i="10"/>
  <c r="O224" i="10" s="1"/>
  <c r="AD292" i="10"/>
  <c r="AE292" i="10" s="1"/>
  <c r="N252" i="10"/>
  <c r="O252" i="10" s="1"/>
  <c r="AD312" i="10"/>
  <c r="AE312" i="10" s="1"/>
  <c r="O399" i="10"/>
  <c r="AD280" i="10"/>
  <c r="AE280" i="10" s="1"/>
  <c r="AD418" i="10"/>
  <c r="AE418" i="10" s="1"/>
  <c r="O286" i="10"/>
  <c r="N216" i="10"/>
  <c r="O216" i="10" s="1"/>
  <c r="N228" i="10"/>
  <c r="O228" i="10" s="1"/>
  <c r="N219" i="10"/>
  <c r="O219" i="10" s="1"/>
  <c r="N386" i="10"/>
  <c r="O386" i="10" s="1"/>
  <c r="N428" i="10"/>
  <c r="O428" i="10" s="1"/>
  <c r="AD349" i="10"/>
  <c r="AE349" i="10" s="1"/>
  <c r="O276" i="10"/>
  <c r="N411" i="10"/>
  <c r="O411" i="10" s="1"/>
  <c r="N272" i="10"/>
  <c r="O272" i="10" s="1"/>
  <c r="N388" i="10"/>
  <c r="O388" i="10" s="1"/>
  <c r="N420" i="10"/>
  <c r="O420" i="10" s="1"/>
  <c r="AD279" i="10"/>
  <c r="AE279" i="10" s="1"/>
  <c r="O239" i="10"/>
  <c r="N261" i="10"/>
  <c r="O261" i="10" s="1"/>
  <c r="N206" i="10"/>
  <c r="O206" i="10" s="1"/>
  <c r="O231" i="10"/>
  <c r="N427" i="10"/>
  <c r="O427" i="10" s="1"/>
  <c r="O226" i="10"/>
  <c r="N332" i="10"/>
  <c r="O332" i="10" s="1"/>
  <c r="AD358" i="10"/>
  <c r="AE358" i="10" s="1"/>
  <c r="O405" i="10"/>
  <c r="N204" i="10"/>
  <c r="O204" i="10" s="1"/>
  <c r="N229" i="10"/>
  <c r="O229" i="10" s="1"/>
  <c r="N277" i="10"/>
  <c r="O277" i="10" s="1"/>
  <c r="AD370" i="10"/>
  <c r="AE370" i="10" s="1"/>
  <c r="N297" i="10"/>
  <c r="O297" i="10" s="1"/>
  <c r="N208" i="10"/>
  <c r="O208" i="10" s="1"/>
  <c r="AD216" i="10"/>
  <c r="AE216" i="10" s="1"/>
  <c r="AD231" i="10"/>
  <c r="AE231" i="10" s="1"/>
  <c r="O296" i="10"/>
  <c r="O445" i="10"/>
  <c r="O311" i="10"/>
  <c r="O312" i="10"/>
  <c r="O375" i="10"/>
  <c r="O218" i="10"/>
  <c r="AD199" i="10"/>
  <c r="AE199" i="10" s="1"/>
  <c r="O336" i="10"/>
  <c r="O263" i="10"/>
  <c r="O360" i="10"/>
  <c r="O300" i="10"/>
  <c r="AD293" i="10"/>
  <c r="AE293" i="10" s="1"/>
  <c r="O400" i="10"/>
  <c r="N393" i="10"/>
  <c r="O393" i="10" s="1"/>
  <c r="AD239" i="10"/>
  <c r="AE239" i="10" s="1"/>
  <c r="O440" i="10"/>
  <c r="O266" i="10"/>
  <c r="O262" i="10"/>
  <c r="AD412" i="10"/>
  <c r="AE412" i="10" s="1"/>
  <c r="AD397" i="10"/>
  <c r="AE397" i="10" s="1"/>
  <c r="O310" i="10"/>
  <c r="O280" i="10"/>
  <c r="O406" i="10"/>
  <c r="AD373" i="10"/>
  <c r="AE373" i="10" s="1"/>
  <c r="O429" i="10"/>
  <c r="O236" i="10"/>
  <c r="AD396" i="10"/>
  <c r="AE396" i="10" s="1"/>
  <c r="AD348" i="10"/>
  <c r="AE348" i="10" s="1"/>
  <c r="O365" i="10"/>
  <c r="N342" i="10"/>
  <c r="O342" i="10" s="1"/>
  <c r="O279" i="10"/>
  <c r="O407" i="10"/>
  <c r="AD268" i="10"/>
  <c r="AE268" i="10" s="1"/>
  <c r="O357" i="10"/>
  <c r="N217" i="10"/>
  <c r="O217" i="10" s="1"/>
  <c r="AD404" i="10"/>
  <c r="AE404" i="10" s="1"/>
  <c r="O230" i="10"/>
  <c r="O333" i="10"/>
  <c r="O308" i="10"/>
  <c r="O424" i="10"/>
  <c r="R47" i="1"/>
  <c r="AB47" i="1"/>
  <c r="Z47" i="1"/>
  <c r="AD48" i="1"/>
  <c r="X50" i="1"/>
  <c r="X48" i="1"/>
  <c r="AL48" i="1"/>
  <c r="P50" i="1"/>
  <c r="X47" i="1"/>
  <c r="AD49" i="1"/>
  <c r="AL49" i="1"/>
  <c r="AF50" i="1"/>
  <c r="AB49" i="1"/>
  <c r="AJ49" i="1"/>
  <c r="AD50" i="1"/>
  <c r="Z49" i="1"/>
  <c r="AH50" i="1"/>
  <c r="AB50" i="1"/>
  <c r="R49" i="1"/>
  <c r="O267" i="10"/>
  <c r="O434" i="10"/>
  <c r="AD248" i="10"/>
  <c r="AE248" i="10" s="1"/>
  <c r="O316" i="10"/>
  <c r="O306" i="10"/>
  <c r="N361" i="10"/>
  <c r="O361" i="10" s="1"/>
  <c r="O322" i="10"/>
  <c r="AD305" i="10"/>
  <c r="AE305" i="10" s="1"/>
  <c r="O373" i="10"/>
  <c r="O387" i="10"/>
  <c r="O346" i="10"/>
  <c r="N417" i="10"/>
  <c r="O417" i="10" s="1"/>
  <c r="O323" i="10"/>
  <c r="N212" i="10"/>
  <c r="O212" i="10" s="1"/>
  <c r="O232" i="10"/>
  <c r="O384" i="10"/>
  <c r="AD204" i="10"/>
  <c r="AE204" i="10" s="1"/>
  <c r="O319" i="10"/>
  <c r="AD267" i="10"/>
  <c r="AE267" i="10" s="1"/>
  <c r="O242" i="10"/>
  <c r="N409" i="10"/>
  <c r="O409" i="10" s="1"/>
  <c r="O414" i="10"/>
  <c r="N337" i="10"/>
  <c r="O337" i="10" s="1"/>
  <c r="O328" i="10"/>
  <c r="N385" i="10"/>
  <c r="O385" i="10" s="1"/>
  <c r="O309" i="10"/>
  <c r="N353" i="10"/>
  <c r="O353" i="10" s="1"/>
  <c r="N369" i="10"/>
  <c r="O369" i="10" s="1"/>
  <c r="O438" i="10"/>
  <c r="AD261" i="10"/>
  <c r="AE261" i="10" s="1"/>
  <c r="AD259" i="10"/>
  <c r="AE259" i="10" s="1"/>
  <c r="O442" i="10"/>
  <c r="AD329" i="10"/>
  <c r="AE329" i="10" s="1"/>
  <c r="AD321" i="10"/>
  <c r="AE321" i="10" s="1"/>
  <c r="AD377" i="10"/>
  <c r="AE377" i="10" s="1"/>
  <c r="O317" i="10"/>
  <c r="O223" i="10"/>
  <c r="O396" i="10"/>
  <c r="O418" i="10"/>
  <c r="O298" i="10"/>
  <c r="O294" i="10"/>
  <c r="AD393" i="10"/>
  <c r="AE393" i="10" s="1"/>
  <c r="AD409" i="10"/>
  <c r="AE409" i="10" s="1"/>
  <c r="O412" i="10"/>
  <c r="O273" i="10"/>
  <c r="O299" i="10"/>
  <c r="N377" i="10"/>
  <c r="O377" i="10" s="1"/>
  <c r="O253" i="10"/>
  <c r="O301" i="10"/>
  <c r="O379" i="10"/>
  <c r="O285" i="10"/>
  <c r="O338" i="10"/>
  <c r="N329" i="10"/>
  <c r="O329" i="10" s="1"/>
  <c r="O258" i="10"/>
  <c r="O318" i="10"/>
  <c r="O371" i="10"/>
  <c r="O422" i="10"/>
  <c r="O210" i="10"/>
  <c r="O278" i="10"/>
  <c r="N449" i="10"/>
  <c r="O449" i="10" s="1"/>
  <c r="O363" i="10"/>
  <c r="O282" i="10"/>
  <c r="N425" i="10"/>
  <c r="O425" i="10" s="1"/>
  <c r="O426" i="10"/>
  <c r="O256" i="10"/>
  <c r="N281" i="10"/>
  <c r="O281" i="10" s="1"/>
  <c r="N401" i="10"/>
  <c r="O401" i="10" s="1"/>
  <c r="N265" i="10"/>
  <c r="O265" i="10" s="1"/>
  <c r="O370" i="10"/>
  <c r="O398" i="10"/>
  <c r="O430" i="10"/>
  <c r="O245" i="10"/>
  <c r="O227" i="10"/>
  <c r="N321" i="10"/>
  <c r="O321" i="10" s="1"/>
  <c r="N345" i="10"/>
  <c r="O345" i="10" s="1"/>
  <c r="O330" i="10"/>
  <c r="O410" i="10"/>
  <c r="N441" i="10"/>
  <c r="O441" i="10" s="1"/>
  <c r="O394" i="10"/>
  <c r="O264" i="10"/>
  <c r="O362" i="10"/>
  <c r="O378" i="10"/>
  <c r="AD307" i="10"/>
  <c r="AE307" i="10" s="1"/>
  <c r="AD202" i="10"/>
  <c r="AE202" i="10" s="1"/>
  <c r="AD210" i="10"/>
  <c r="AE210" i="10" s="1"/>
  <c r="AD260" i="10"/>
  <c r="AE260" i="10" s="1"/>
  <c r="AD385" i="10"/>
  <c r="AE385" i="10" s="1"/>
  <c r="AD283" i="10"/>
  <c r="AE283" i="10" s="1"/>
  <c r="AD401" i="10"/>
  <c r="AE401" i="10" s="1"/>
  <c r="AD417" i="10"/>
  <c r="AE417" i="10" s="1"/>
  <c r="O302" i="10"/>
  <c r="O274" i="10"/>
  <c r="O331" i="10"/>
  <c r="O374" i="10"/>
  <c r="O339" i="10"/>
  <c r="N307" i="10"/>
  <c r="O307" i="10" s="1"/>
  <c r="O355" i="10"/>
  <c r="O347" i="10"/>
  <c r="N366" i="10"/>
  <c r="O366" i="10" s="1"/>
  <c r="O275" i="10"/>
  <c r="O268" i="10"/>
  <c r="N248" i="10"/>
  <c r="O248" i="10" s="1"/>
  <c r="N382" i="10"/>
  <c r="O382" i="10" s="1"/>
  <c r="O238" i="10"/>
  <c r="N237" i="10"/>
  <c r="O237" i="10" s="1"/>
  <c r="O250" i="10"/>
  <c r="O358" i="10"/>
  <c r="O390" i="10"/>
  <c r="N433" i="10"/>
  <c r="O433" i="10" s="1"/>
  <c r="N313" i="10"/>
  <c r="O313" i="10" s="1"/>
  <c r="N251" i="10"/>
  <c r="O251" i="10" s="1"/>
  <c r="O290" i="10"/>
  <c r="O240" i="10"/>
  <c r="AH49" i="1"/>
  <c r="T50" i="1"/>
  <c r="V49" i="1"/>
  <c r="V50" i="1"/>
  <c r="X49" i="1"/>
  <c r="R27" i="2"/>
  <c r="L27" i="2"/>
  <c r="F27" i="2"/>
  <c r="A27" i="2"/>
  <c r="B662" i="10" l="1"/>
  <c r="E662" i="10" s="1"/>
  <c r="C662" i="10"/>
  <c r="P662" i="10" s="1"/>
  <c r="R662" i="10"/>
  <c r="AA662" i="10" s="1"/>
  <c r="S662" i="10"/>
  <c r="Y662" i="10" s="1"/>
  <c r="R420" i="10"/>
  <c r="U420" i="10" s="1"/>
  <c r="S420" i="10"/>
  <c r="R421" i="10"/>
  <c r="V421" i="10" s="1"/>
  <c r="S421" i="10"/>
  <c r="R422" i="10"/>
  <c r="X422" i="10" s="1"/>
  <c r="S422" i="10"/>
  <c r="AF422" i="10" s="1"/>
  <c r="R423" i="10"/>
  <c r="U423" i="10" s="1"/>
  <c r="S423" i="10"/>
  <c r="AF423" i="10" s="1"/>
  <c r="R424" i="10"/>
  <c r="AA424" i="10" s="1"/>
  <c r="S424" i="10"/>
  <c r="R425" i="10"/>
  <c r="AB425" i="10" s="1"/>
  <c r="S425" i="10"/>
  <c r="R426" i="10"/>
  <c r="U426" i="10" s="1"/>
  <c r="S426" i="10"/>
  <c r="R427" i="10"/>
  <c r="X427" i="10" s="1"/>
  <c r="S427" i="10"/>
  <c r="R428" i="10"/>
  <c r="AA428" i="10" s="1"/>
  <c r="S428" i="10"/>
  <c r="R429" i="10"/>
  <c r="X429" i="10" s="1"/>
  <c r="S429" i="10"/>
  <c r="R430" i="10"/>
  <c r="X430" i="10" s="1"/>
  <c r="S430" i="10"/>
  <c r="AF430" i="10" s="1"/>
  <c r="R431" i="10"/>
  <c r="X431" i="10" s="1"/>
  <c r="S431" i="10"/>
  <c r="R432" i="10"/>
  <c r="S432" i="10"/>
  <c r="R433" i="10"/>
  <c r="AA433" i="10" s="1"/>
  <c r="S433" i="10"/>
  <c r="R434" i="10"/>
  <c r="AB434" i="10" s="1"/>
  <c r="S434" i="10"/>
  <c r="AF434" i="10" s="1"/>
  <c r="R435" i="10"/>
  <c r="X435" i="10" s="1"/>
  <c r="S435" i="10"/>
  <c r="R436" i="10"/>
  <c r="X436" i="10" s="1"/>
  <c r="S436" i="10"/>
  <c r="R437" i="10"/>
  <c r="V437" i="10" s="1"/>
  <c r="S437" i="10"/>
  <c r="R438" i="10"/>
  <c r="V438" i="10" s="1"/>
  <c r="S438" i="10"/>
  <c r="R439" i="10"/>
  <c r="S439" i="10"/>
  <c r="R440" i="10"/>
  <c r="X440" i="10" s="1"/>
  <c r="S440" i="10"/>
  <c r="R441" i="10"/>
  <c r="S441" i="10"/>
  <c r="AF441" i="10" s="1"/>
  <c r="R442" i="10"/>
  <c r="AA442" i="10" s="1"/>
  <c r="S442" i="10"/>
  <c r="R443" i="10"/>
  <c r="AB443" i="10" s="1"/>
  <c r="S443" i="10"/>
  <c r="R444" i="10"/>
  <c r="U444" i="10" s="1"/>
  <c r="S444" i="10"/>
  <c r="R445" i="10"/>
  <c r="X445" i="10" s="1"/>
  <c r="S445" i="10"/>
  <c r="R446" i="10"/>
  <c r="S446" i="10"/>
  <c r="Y446" i="10" s="1"/>
  <c r="R447" i="10"/>
  <c r="AB447" i="10" s="1"/>
  <c r="S447" i="10"/>
  <c r="R448" i="10"/>
  <c r="U448" i="10" s="1"/>
  <c r="S448" i="10"/>
  <c r="Y448" i="10" s="1"/>
  <c r="R449" i="10"/>
  <c r="AA449" i="10" s="1"/>
  <c r="S449" i="10"/>
  <c r="AF449" i="10" s="1"/>
  <c r="R450" i="10"/>
  <c r="V450" i="10" s="1"/>
  <c r="S450" i="10"/>
  <c r="Y450" i="10" s="1"/>
  <c r="B451" i="10"/>
  <c r="K451" i="10" s="1"/>
  <c r="C451" i="10"/>
  <c r="I451" i="10" s="1"/>
  <c r="R451" i="10"/>
  <c r="S451" i="10"/>
  <c r="AF451" i="10" s="1"/>
  <c r="B452" i="10"/>
  <c r="E452" i="10" s="1"/>
  <c r="C452" i="10"/>
  <c r="I452" i="10" s="1"/>
  <c r="R452" i="10"/>
  <c r="U452" i="10" s="1"/>
  <c r="S452" i="10"/>
  <c r="Y452" i="10" s="1"/>
  <c r="B453" i="10"/>
  <c r="K453" i="10" s="1"/>
  <c r="C453" i="10"/>
  <c r="R453" i="10"/>
  <c r="AA453" i="10" s="1"/>
  <c r="S453" i="10"/>
  <c r="AF453" i="10" s="1"/>
  <c r="B454" i="10"/>
  <c r="E454" i="10" s="1"/>
  <c r="C454" i="10"/>
  <c r="I454" i="10" s="1"/>
  <c r="R454" i="10"/>
  <c r="U454" i="10" s="1"/>
  <c r="S454" i="10"/>
  <c r="Y454" i="10" s="1"/>
  <c r="B455" i="10"/>
  <c r="E455" i="10" s="1"/>
  <c r="C455" i="10"/>
  <c r="R455" i="10"/>
  <c r="AB455" i="10" s="1"/>
  <c r="S455" i="10"/>
  <c r="AF455" i="10" s="1"/>
  <c r="B456" i="10"/>
  <c r="C456" i="10"/>
  <c r="I456" i="10" s="1"/>
  <c r="R456" i="10"/>
  <c r="U456" i="10" s="1"/>
  <c r="S456" i="10"/>
  <c r="Y456" i="10" s="1"/>
  <c r="B457" i="10"/>
  <c r="H457" i="10" s="1"/>
  <c r="C457" i="10"/>
  <c r="I457" i="10" s="1"/>
  <c r="R457" i="10"/>
  <c r="X457" i="10" s="1"/>
  <c r="S457" i="10"/>
  <c r="AF457" i="10" s="1"/>
  <c r="B458" i="10"/>
  <c r="E458" i="10" s="1"/>
  <c r="C458" i="10"/>
  <c r="I458" i="10" s="1"/>
  <c r="R458" i="10"/>
  <c r="AB458" i="10" s="1"/>
  <c r="S458" i="10"/>
  <c r="AF458" i="10" s="1"/>
  <c r="B459" i="10"/>
  <c r="E459" i="10" s="1"/>
  <c r="C459" i="10"/>
  <c r="I459" i="10" s="1"/>
  <c r="R459" i="10"/>
  <c r="AB459" i="10" s="1"/>
  <c r="S459" i="10"/>
  <c r="AF459" i="10" s="1"/>
  <c r="B460" i="10"/>
  <c r="L460" i="10" s="1"/>
  <c r="C460" i="10"/>
  <c r="R460" i="10"/>
  <c r="S460" i="10"/>
  <c r="Y460" i="10" s="1"/>
  <c r="B461" i="10"/>
  <c r="C461" i="10"/>
  <c r="P461" i="10" s="1"/>
  <c r="R461" i="10"/>
  <c r="S461" i="10"/>
  <c r="AF461" i="10" s="1"/>
  <c r="B462" i="10"/>
  <c r="E462" i="10" s="1"/>
  <c r="C462" i="10"/>
  <c r="I462" i="10" s="1"/>
  <c r="R462" i="10"/>
  <c r="AA462" i="10" s="1"/>
  <c r="S462" i="10"/>
  <c r="AF462" i="10" s="1"/>
  <c r="B463" i="10"/>
  <c r="E463" i="10" s="1"/>
  <c r="C463" i="10"/>
  <c r="I463" i="10" s="1"/>
  <c r="R463" i="10"/>
  <c r="AB463" i="10" s="1"/>
  <c r="S463" i="10"/>
  <c r="AF463" i="10" s="1"/>
  <c r="B464" i="10"/>
  <c r="L464" i="10" s="1"/>
  <c r="C464" i="10"/>
  <c r="P464" i="10" s="1"/>
  <c r="R464" i="10"/>
  <c r="X464" i="10" s="1"/>
  <c r="S464" i="10"/>
  <c r="Y464" i="10" s="1"/>
  <c r="B465" i="10"/>
  <c r="H465" i="10" s="1"/>
  <c r="C465" i="10"/>
  <c r="R465" i="10"/>
  <c r="V465" i="10" s="1"/>
  <c r="S465" i="10"/>
  <c r="B466" i="10"/>
  <c r="C466" i="10"/>
  <c r="I466" i="10" s="1"/>
  <c r="R466" i="10"/>
  <c r="U466" i="10" s="1"/>
  <c r="S466" i="10"/>
  <c r="Y466" i="10" s="1"/>
  <c r="B467" i="10"/>
  <c r="C467" i="10"/>
  <c r="I467" i="10" s="1"/>
  <c r="R467" i="10"/>
  <c r="S467" i="10"/>
  <c r="AF467" i="10" s="1"/>
  <c r="B468" i="10"/>
  <c r="E468" i="10" s="1"/>
  <c r="C468" i="10"/>
  <c r="I468" i="10" s="1"/>
  <c r="R468" i="10"/>
  <c r="X468" i="10" s="1"/>
  <c r="S468" i="10"/>
  <c r="Y468" i="10" s="1"/>
  <c r="B469" i="10"/>
  <c r="H469" i="10" s="1"/>
  <c r="C469" i="10"/>
  <c r="I469" i="10" s="1"/>
  <c r="R469" i="10"/>
  <c r="S469" i="10"/>
  <c r="AF469" i="10" s="1"/>
  <c r="B470" i="10"/>
  <c r="C470" i="10"/>
  <c r="P470" i="10" s="1"/>
  <c r="R470" i="10"/>
  <c r="AA470" i="10" s="1"/>
  <c r="S470" i="10"/>
  <c r="Y470" i="10" s="1"/>
  <c r="B471" i="10"/>
  <c r="K471" i="10" s="1"/>
  <c r="C471" i="10"/>
  <c r="I471" i="10" s="1"/>
  <c r="R471" i="10"/>
  <c r="X471" i="10" s="1"/>
  <c r="S471" i="10"/>
  <c r="AF471" i="10" s="1"/>
  <c r="B472" i="10"/>
  <c r="L472" i="10" s="1"/>
  <c r="C472" i="10"/>
  <c r="P472" i="10" s="1"/>
  <c r="R472" i="10"/>
  <c r="S472" i="10"/>
  <c r="Y472" i="10" s="1"/>
  <c r="B473" i="10"/>
  <c r="E473" i="10" s="1"/>
  <c r="C473" i="10"/>
  <c r="I473" i="10" s="1"/>
  <c r="R473" i="10"/>
  <c r="V473" i="10" s="1"/>
  <c r="S473" i="10"/>
  <c r="AF473" i="10" s="1"/>
  <c r="B474" i="10"/>
  <c r="K474" i="10" s="1"/>
  <c r="C474" i="10"/>
  <c r="P474" i="10" s="1"/>
  <c r="R474" i="10"/>
  <c r="AA474" i="10" s="1"/>
  <c r="S474" i="10"/>
  <c r="Y474" i="10" s="1"/>
  <c r="B475" i="10"/>
  <c r="C475" i="10"/>
  <c r="I475" i="10" s="1"/>
  <c r="R475" i="10"/>
  <c r="X475" i="10" s="1"/>
  <c r="S475" i="10"/>
  <c r="AF475" i="10" s="1"/>
  <c r="B476" i="10"/>
  <c r="L476" i="10" s="1"/>
  <c r="C476" i="10"/>
  <c r="P476" i="10" s="1"/>
  <c r="R476" i="10"/>
  <c r="X476" i="10" s="1"/>
  <c r="S476" i="10"/>
  <c r="Y476" i="10" s="1"/>
  <c r="B477" i="10"/>
  <c r="E477" i="10" s="1"/>
  <c r="C477" i="10"/>
  <c r="I477" i="10" s="1"/>
  <c r="R477" i="10"/>
  <c r="S477" i="10"/>
  <c r="AF477" i="10" s="1"/>
  <c r="B478" i="10"/>
  <c r="K478" i="10" s="1"/>
  <c r="C478" i="10"/>
  <c r="R478" i="10"/>
  <c r="S478" i="10"/>
  <c r="B479" i="10"/>
  <c r="C479" i="10"/>
  <c r="I479" i="10" s="1"/>
  <c r="R479" i="10"/>
  <c r="X479" i="10" s="1"/>
  <c r="S479" i="10"/>
  <c r="AF479" i="10" s="1"/>
  <c r="B480" i="10"/>
  <c r="C480" i="10"/>
  <c r="P480" i="10" s="1"/>
  <c r="R480" i="10"/>
  <c r="S480" i="10"/>
  <c r="Y480" i="10" s="1"/>
  <c r="B481" i="10"/>
  <c r="F481" i="10" s="1"/>
  <c r="C481" i="10"/>
  <c r="I481" i="10" s="1"/>
  <c r="R481" i="10"/>
  <c r="S481" i="10"/>
  <c r="AF481" i="10" s="1"/>
  <c r="B482" i="10"/>
  <c r="C482" i="10"/>
  <c r="R482" i="10"/>
  <c r="S482" i="10"/>
  <c r="B483" i="10"/>
  <c r="E483" i="10" s="1"/>
  <c r="C483" i="10"/>
  <c r="I483" i="10" s="1"/>
  <c r="R483" i="10"/>
  <c r="X483" i="10" s="1"/>
  <c r="S483" i="10"/>
  <c r="AF483" i="10" s="1"/>
  <c r="B484" i="10"/>
  <c r="H484" i="10" s="1"/>
  <c r="C484" i="10"/>
  <c r="P484" i="10" s="1"/>
  <c r="R484" i="10"/>
  <c r="X484" i="10" s="1"/>
  <c r="S484" i="10"/>
  <c r="Y484" i="10" s="1"/>
  <c r="B485" i="10"/>
  <c r="F485" i="10" s="1"/>
  <c r="C485" i="10"/>
  <c r="I485" i="10" s="1"/>
  <c r="R485" i="10"/>
  <c r="S485" i="10"/>
  <c r="AF485" i="10" s="1"/>
  <c r="B486" i="10"/>
  <c r="C486" i="10"/>
  <c r="P486" i="10" s="1"/>
  <c r="R486" i="10"/>
  <c r="AA486" i="10" s="1"/>
  <c r="S486" i="10"/>
  <c r="Y486" i="10" s="1"/>
  <c r="B487" i="10"/>
  <c r="H487" i="10" s="1"/>
  <c r="C487" i="10"/>
  <c r="I487" i="10" s="1"/>
  <c r="R487" i="10"/>
  <c r="V487" i="10" s="1"/>
  <c r="S487" i="10"/>
  <c r="B488" i="10"/>
  <c r="C488" i="10"/>
  <c r="P488" i="10" s="1"/>
  <c r="R488" i="10"/>
  <c r="AB488" i="10" s="1"/>
  <c r="S488" i="10"/>
  <c r="Y488" i="10" s="1"/>
  <c r="B489" i="10"/>
  <c r="F489" i="10" s="1"/>
  <c r="C489" i="10"/>
  <c r="I489" i="10" s="1"/>
  <c r="R489" i="10"/>
  <c r="S489" i="10"/>
  <c r="B490" i="10"/>
  <c r="C490" i="10"/>
  <c r="I490" i="10" s="1"/>
  <c r="R490" i="10"/>
  <c r="AB490" i="10" s="1"/>
  <c r="S490" i="10"/>
  <c r="B491" i="10"/>
  <c r="E491" i="10" s="1"/>
  <c r="C491" i="10"/>
  <c r="I491" i="10" s="1"/>
  <c r="R491" i="10"/>
  <c r="S491" i="10"/>
  <c r="AF491" i="10" s="1"/>
  <c r="B492" i="10"/>
  <c r="L492" i="10" s="1"/>
  <c r="C492" i="10"/>
  <c r="I492" i="10" s="1"/>
  <c r="R492" i="10"/>
  <c r="S492" i="10"/>
  <c r="Y492" i="10" s="1"/>
  <c r="B493" i="10"/>
  <c r="F493" i="10" s="1"/>
  <c r="C493" i="10"/>
  <c r="R493" i="10"/>
  <c r="U493" i="10" s="1"/>
  <c r="S493" i="10"/>
  <c r="B494" i="10"/>
  <c r="F494" i="10" s="1"/>
  <c r="C494" i="10"/>
  <c r="I494" i="10" s="1"/>
  <c r="R494" i="10"/>
  <c r="AB494" i="10" s="1"/>
  <c r="S494" i="10"/>
  <c r="Y494" i="10" s="1"/>
  <c r="B495" i="10"/>
  <c r="F495" i="10" s="1"/>
  <c r="C495" i="10"/>
  <c r="R495" i="10"/>
  <c r="S495" i="10"/>
  <c r="AF495" i="10" s="1"/>
  <c r="B496" i="10"/>
  <c r="L496" i="10" s="1"/>
  <c r="C496" i="10"/>
  <c r="I496" i="10" s="1"/>
  <c r="R496" i="10"/>
  <c r="X496" i="10" s="1"/>
  <c r="S496" i="10"/>
  <c r="Y496" i="10" s="1"/>
  <c r="B497" i="10"/>
  <c r="E497" i="10" s="1"/>
  <c r="C497" i="10"/>
  <c r="R497" i="10"/>
  <c r="AA497" i="10" s="1"/>
  <c r="S497" i="10"/>
  <c r="Y497" i="10" s="1"/>
  <c r="B498" i="10"/>
  <c r="C498" i="10"/>
  <c r="R498" i="10"/>
  <c r="S498" i="10"/>
  <c r="B499" i="10"/>
  <c r="E499" i="10" s="1"/>
  <c r="C499" i="10"/>
  <c r="I499" i="10" s="1"/>
  <c r="R499" i="10"/>
  <c r="U499" i="10" s="1"/>
  <c r="S499" i="10"/>
  <c r="AF499" i="10" s="1"/>
  <c r="B500" i="10"/>
  <c r="C500" i="10"/>
  <c r="I500" i="10" s="1"/>
  <c r="R500" i="10"/>
  <c r="X500" i="10" s="1"/>
  <c r="S500" i="10"/>
  <c r="Y500" i="10" s="1"/>
  <c r="B501" i="10"/>
  <c r="C501" i="10"/>
  <c r="R501" i="10"/>
  <c r="U501" i="10" s="1"/>
  <c r="S501" i="10"/>
  <c r="AF501" i="10" s="1"/>
  <c r="B502" i="10"/>
  <c r="C502" i="10"/>
  <c r="R502" i="10"/>
  <c r="U502" i="10" s="1"/>
  <c r="S502" i="10"/>
  <c r="B503" i="10"/>
  <c r="E503" i="10" s="1"/>
  <c r="C503" i="10"/>
  <c r="R503" i="10"/>
  <c r="S503" i="10"/>
  <c r="B504" i="10"/>
  <c r="F504" i="10" s="1"/>
  <c r="C504" i="10"/>
  <c r="I504" i="10" s="1"/>
  <c r="R504" i="10"/>
  <c r="S504" i="10"/>
  <c r="Y504" i="10" s="1"/>
  <c r="B505" i="10"/>
  <c r="C505" i="10"/>
  <c r="R505" i="10"/>
  <c r="X505" i="10" s="1"/>
  <c r="S505" i="10"/>
  <c r="Y505" i="10" s="1"/>
  <c r="B506" i="10"/>
  <c r="F506" i="10" s="1"/>
  <c r="C506" i="10"/>
  <c r="I506" i="10" s="1"/>
  <c r="R506" i="10"/>
  <c r="AA506" i="10" s="1"/>
  <c r="S506" i="10"/>
  <c r="Y506" i="10" s="1"/>
  <c r="B507" i="10"/>
  <c r="E507" i="10" s="1"/>
  <c r="C507" i="10"/>
  <c r="I507" i="10" s="1"/>
  <c r="R507" i="10"/>
  <c r="AA507" i="10" s="1"/>
  <c r="S507" i="10"/>
  <c r="B508" i="10"/>
  <c r="C508" i="10"/>
  <c r="P508" i="10" s="1"/>
  <c r="R508" i="10"/>
  <c r="X508" i="10" s="1"/>
  <c r="S508" i="10"/>
  <c r="B509" i="10"/>
  <c r="F509" i="10" s="1"/>
  <c r="C509" i="10"/>
  <c r="R509" i="10"/>
  <c r="AA509" i="10" s="1"/>
  <c r="S509" i="10"/>
  <c r="B510" i="10"/>
  <c r="F510" i="10" s="1"/>
  <c r="C510" i="10"/>
  <c r="R510" i="10"/>
  <c r="AA510" i="10" s="1"/>
  <c r="S510" i="10"/>
  <c r="B511" i="10"/>
  <c r="F511" i="10" s="1"/>
  <c r="C511" i="10"/>
  <c r="R511" i="10"/>
  <c r="U511" i="10" s="1"/>
  <c r="S511" i="10"/>
  <c r="B512" i="10"/>
  <c r="C512" i="10"/>
  <c r="P512" i="10" s="1"/>
  <c r="R512" i="10"/>
  <c r="X512" i="10" s="1"/>
  <c r="S512" i="10"/>
  <c r="B513" i="10"/>
  <c r="C513" i="10"/>
  <c r="I513" i="10" s="1"/>
  <c r="R513" i="10"/>
  <c r="AA513" i="10" s="1"/>
  <c r="S513" i="10"/>
  <c r="Y513" i="10" s="1"/>
  <c r="B514" i="10"/>
  <c r="L514" i="10" s="1"/>
  <c r="C514" i="10"/>
  <c r="P514" i="10" s="1"/>
  <c r="R514" i="10"/>
  <c r="V514" i="10" s="1"/>
  <c r="S514" i="10"/>
  <c r="Y514" i="10" s="1"/>
  <c r="B515" i="10"/>
  <c r="C515" i="10"/>
  <c r="I515" i="10" s="1"/>
  <c r="R515" i="10"/>
  <c r="U515" i="10" s="1"/>
  <c r="S515" i="10"/>
  <c r="AF515" i="10" s="1"/>
  <c r="B516" i="10"/>
  <c r="L516" i="10" s="1"/>
  <c r="C516" i="10"/>
  <c r="P516" i="10" s="1"/>
  <c r="R516" i="10"/>
  <c r="S516" i="10"/>
  <c r="B517" i="10"/>
  <c r="F517" i="10" s="1"/>
  <c r="C517" i="10"/>
  <c r="P517" i="10" s="1"/>
  <c r="R517" i="10"/>
  <c r="AA517" i="10" s="1"/>
  <c r="S517" i="10"/>
  <c r="B518" i="10"/>
  <c r="C518" i="10"/>
  <c r="P518" i="10" s="1"/>
  <c r="R518" i="10"/>
  <c r="U518" i="10" s="1"/>
  <c r="S518" i="10"/>
  <c r="B519" i="10"/>
  <c r="H519" i="10" s="1"/>
  <c r="C519" i="10"/>
  <c r="I519" i="10" s="1"/>
  <c r="R519" i="10"/>
  <c r="U519" i="10" s="1"/>
  <c r="S519" i="10"/>
  <c r="AF519" i="10" s="1"/>
  <c r="B520" i="10"/>
  <c r="L520" i="10" s="1"/>
  <c r="C520" i="10"/>
  <c r="R520" i="10"/>
  <c r="V520" i="10" s="1"/>
  <c r="S520" i="10"/>
  <c r="AF520" i="10" s="1"/>
  <c r="B521" i="10"/>
  <c r="H521" i="10" s="1"/>
  <c r="C521" i="10"/>
  <c r="P521" i="10" s="1"/>
  <c r="R521" i="10"/>
  <c r="S521" i="10"/>
  <c r="Y521" i="10" s="1"/>
  <c r="B522" i="10"/>
  <c r="F522" i="10" s="1"/>
  <c r="C522" i="10"/>
  <c r="I522" i="10" s="1"/>
  <c r="R522" i="10"/>
  <c r="AB522" i="10" s="1"/>
  <c r="S522" i="10"/>
  <c r="Y522" i="10" s="1"/>
  <c r="B523" i="10"/>
  <c r="E523" i="10" s="1"/>
  <c r="C523" i="10"/>
  <c r="I523" i="10" s="1"/>
  <c r="R523" i="10"/>
  <c r="S523" i="10"/>
  <c r="AF523" i="10" s="1"/>
  <c r="B524" i="10"/>
  <c r="L524" i="10" s="1"/>
  <c r="C524" i="10"/>
  <c r="I524" i="10" s="1"/>
  <c r="R524" i="10"/>
  <c r="X524" i="10" s="1"/>
  <c r="S524" i="10"/>
  <c r="B525" i="10"/>
  <c r="F525" i="10" s="1"/>
  <c r="C525" i="10"/>
  <c r="I525" i="10" s="1"/>
  <c r="R525" i="10"/>
  <c r="AA525" i="10" s="1"/>
  <c r="S525" i="10"/>
  <c r="Y525" i="10" s="1"/>
  <c r="B526" i="10"/>
  <c r="F526" i="10" s="1"/>
  <c r="C526" i="10"/>
  <c r="I526" i="10" s="1"/>
  <c r="R526" i="10"/>
  <c r="U526" i="10" s="1"/>
  <c r="S526" i="10"/>
  <c r="B527" i="10"/>
  <c r="H527" i="10" s="1"/>
  <c r="C527" i="10"/>
  <c r="I527" i="10" s="1"/>
  <c r="R527" i="10"/>
  <c r="U527" i="10" s="1"/>
  <c r="S527" i="10"/>
  <c r="AF527" i="10" s="1"/>
  <c r="B528" i="10"/>
  <c r="L528" i="10" s="1"/>
  <c r="C528" i="10"/>
  <c r="I528" i="10" s="1"/>
  <c r="R528" i="10"/>
  <c r="X528" i="10" s="1"/>
  <c r="S528" i="10"/>
  <c r="Y528" i="10" s="1"/>
  <c r="B529" i="10"/>
  <c r="H529" i="10" s="1"/>
  <c r="C529" i="10"/>
  <c r="R529" i="10"/>
  <c r="U529" i="10" s="1"/>
  <c r="S529" i="10"/>
  <c r="Y529" i="10" s="1"/>
  <c r="B530" i="10"/>
  <c r="H530" i="10" s="1"/>
  <c r="C530" i="10"/>
  <c r="I530" i="10" s="1"/>
  <c r="R530" i="10"/>
  <c r="AA530" i="10" s="1"/>
  <c r="S530" i="10"/>
  <c r="B531" i="10"/>
  <c r="C531" i="10"/>
  <c r="R531" i="10"/>
  <c r="V531" i="10" s="1"/>
  <c r="S531" i="10"/>
  <c r="AF531" i="10" s="1"/>
  <c r="B532" i="10"/>
  <c r="L532" i="10" s="1"/>
  <c r="C532" i="10"/>
  <c r="I532" i="10" s="1"/>
  <c r="R532" i="10"/>
  <c r="S532" i="10"/>
  <c r="Y532" i="10" s="1"/>
  <c r="B533" i="10"/>
  <c r="E533" i="10" s="1"/>
  <c r="C533" i="10"/>
  <c r="I533" i="10" s="1"/>
  <c r="R533" i="10"/>
  <c r="X533" i="10" s="1"/>
  <c r="S533" i="10"/>
  <c r="Y533" i="10" s="1"/>
  <c r="B534" i="10"/>
  <c r="H534" i="10" s="1"/>
  <c r="C534" i="10"/>
  <c r="P534" i="10" s="1"/>
  <c r="R534" i="10"/>
  <c r="S534" i="10"/>
  <c r="Y534" i="10" s="1"/>
  <c r="B535" i="10"/>
  <c r="L535" i="10" s="1"/>
  <c r="C535" i="10"/>
  <c r="I535" i="10" s="1"/>
  <c r="R535" i="10"/>
  <c r="S535" i="10"/>
  <c r="AF535" i="10" s="1"/>
  <c r="B536" i="10"/>
  <c r="E536" i="10" s="1"/>
  <c r="C536" i="10"/>
  <c r="P536" i="10" s="1"/>
  <c r="R536" i="10"/>
  <c r="X536" i="10" s="1"/>
  <c r="S536" i="10"/>
  <c r="Y536" i="10" s="1"/>
  <c r="B537" i="10"/>
  <c r="L537" i="10" s="1"/>
  <c r="C537" i="10"/>
  <c r="I537" i="10" s="1"/>
  <c r="R537" i="10"/>
  <c r="AA537" i="10" s="1"/>
  <c r="S537" i="10"/>
  <c r="AF537" i="10" s="1"/>
  <c r="B538" i="10"/>
  <c r="L538" i="10" s="1"/>
  <c r="C538" i="10"/>
  <c r="P538" i="10" s="1"/>
  <c r="R538" i="10"/>
  <c r="S538" i="10"/>
  <c r="Y538" i="10" s="1"/>
  <c r="B539" i="10"/>
  <c r="C539" i="10"/>
  <c r="I539" i="10" s="1"/>
  <c r="R539" i="10"/>
  <c r="U539" i="10" s="1"/>
  <c r="S539" i="10"/>
  <c r="B540" i="10"/>
  <c r="F540" i="10" s="1"/>
  <c r="C540" i="10"/>
  <c r="I540" i="10" s="1"/>
  <c r="R540" i="10"/>
  <c r="V540" i="10" s="1"/>
  <c r="S540" i="10"/>
  <c r="AF540" i="10" s="1"/>
  <c r="B541" i="10"/>
  <c r="E541" i="10" s="1"/>
  <c r="C541" i="10"/>
  <c r="P541" i="10" s="1"/>
  <c r="R541" i="10"/>
  <c r="AB541" i="10" s="1"/>
  <c r="S541" i="10"/>
  <c r="Y541" i="10" s="1"/>
  <c r="B542" i="10"/>
  <c r="F542" i="10" s="1"/>
  <c r="C542" i="10"/>
  <c r="I542" i="10" s="1"/>
  <c r="R542" i="10"/>
  <c r="U542" i="10" s="1"/>
  <c r="S542" i="10"/>
  <c r="Y542" i="10" s="1"/>
  <c r="B543" i="10"/>
  <c r="E543" i="10" s="1"/>
  <c r="C543" i="10"/>
  <c r="I543" i="10" s="1"/>
  <c r="R543" i="10"/>
  <c r="AB543" i="10" s="1"/>
  <c r="S543" i="10"/>
  <c r="AF543" i="10" s="1"/>
  <c r="B544" i="10"/>
  <c r="L544" i="10" s="1"/>
  <c r="C544" i="10"/>
  <c r="I544" i="10" s="1"/>
  <c r="R544" i="10"/>
  <c r="X544" i="10" s="1"/>
  <c r="S544" i="10"/>
  <c r="Y544" i="10" s="1"/>
  <c r="B545" i="10"/>
  <c r="H545" i="10" s="1"/>
  <c r="C545" i="10"/>
  <c r="P545" i="10" s="1"/>
  <c r="R545" i="10"/>
  <c r="S545" i="10"/>
  <c r="Y545" i="10" s="1"/>
  <c r="B546" i="10"/>
  <c r="F546" i="10" s="1"/>
  <c r="C546" i="10"/>
  <c r="P546" i="10" s="1"/>
  <c r="R546" i="10"/>
  <c r="X546" i="10" s="1"/>
  <c r="S546" i="10"/>
  <c r="Y546" i="10" s="1"/>
  <c r="B547" i="10"/>
  <c r="H547" i="10" s="1"/>
  <c r="C547" i="10"/>
  <c r="I547" i="10" s="1"/>
  <c r="R547" i="10"/>
  <c r="S547" i="10"/>
  <c r="B548" i="10"/>
  <c r="K548" i="10" s="1"/>
  <c r="C548" i="10"/>
  <c r="I548" i="10" s="1"/>
  <c r="R548" i="10"/>
  <c r="X548" i="10" s="1"/>
  <c r="S548" i="10"/>
  <c r="AF548" i="10" s="1"/>
  <c r="B549" i="10"/>
  <c r="K549" i="10" s="1"/>
  <c r="C549" i="10"/>
  <c r="P549" i="10" s="1"/>
  <c r="R549" i="10"/>
  <c r="S549" i="10"/>
  <c r="Y549" i="10" s="1"/>
  <c r="B550" i="10"/>
  <c r="L550" i="10" s="1"/>
  <c r="C550" i="10"/>
  <c r="P550" i="10" s="1"/>
  <c r="R550" i="10"/>
  <c r="U550" i="10" s="1"/>
  <c r="S550" i="10"/>
  <c r="Y550" i="10" s="1"/>
  <c r="B551" i="10"/>
  <c r="K551" i="10" s="1"/>
  <c r="C551" i="10"/>
  <c r="I551" i="10" s="1"/>
  <c r="R551" i="10"/>
  <c r="V551" i="10" s="1"/>
  <c r="S551" i="10"/>
  <c r="B552" i="10"/>
  <c r="C552" i="10"/>
  <c r="I552" i="10" s="1"/>
  <c r="R552" i="10"/>
  <c r="X552" i="10" s="1"/>
  <c r="S552" i="10"/>
  <c r="Y552" i="10" s="1"/>
  <c r="B553" i="10"/>
  <c r="L553" i="10" s="1"/>
  <c r="C553" i="10"/>
  <c r="I553" i="10" s="1"/>
  <c r="R553" i="10"/>
  <c r="AA553" i="10" s="1"/>
  <c r="S553" i="10"/>
  <c r="Y553" i="10" s="1"/>
  <c r="B554" i="10"/>
  <c r="C554" i="10"/>
  <c r="I554" i="10" s="1"/>
  <c r="R554" i="10"/>
  <c r="U554" i="10" s="1"/>
  <c r="S554" i="10"/>
  <c r="AF554" i="10" s="1"/>
  <c r="B555" i="10"/>
  <c r="H555" i="10" s="1"/>
  <c r="C555" i="10"/>
  <c r="I555" i="10" s="1"/>
  <c r="R555" i="10"/>
  <c r="U555" i="10" s="1"/>
  <c r="S555" i="10"/>
  <c r="B556" i="10"/>
  <c r="E556" i="10" s="1"/>
  <c r="C556" i="10"/>
  <c r="I556" i="10" s="1"/>
  <c r="R556" i="10"/>
  <c r="U556" i="10" s="1"/>
  <c r="S556" i="10"/>
  <c r="AF556" i="10" s="1"/>
  <c r="B557" i="10"/>
  <c r="K557" i="10" s="1"/>
  <c r="C557" i="10"/>
  <c r="I557" i="10" s="1"/>
  <c r="R557" i="10"/>
  <c r="AA557" i="10" s="1"/>
  <c r="S557" i="10"/>
  <c r="B558" i="10"/>
  <c r="K558" i="10" s="1"/>
  <c r="C558" i="10"/>
  <c r="I558" i="10" s="1"/>
  <c r="R558" i="10"/>
  <c r="V558" i="10" s="1"/>
  <c r="S558" i="10"/>
  <c r="Y558" i="10" s="1"/>
  <c r="B559" i="10"/>
  <c r="K559" i="10" s="1"/>
  <c r="C559" i="10"/>
  <c r="R559" i="10"/>
  <c r="AB559" i="10" s="1"/>
  <c r="S559" i="10"/>
  <c r="AF559" i="10" s="1"/>
  <c r="B560" i="10"/>
  <c r="E560" i="10" s="1"/>
  <c r="C560" i="10"/>
  <c r="I560" i="10" s="1"/>
  <c r="R560" i="10"/>
  <c r="U560" i="10" s="1"/>
  <c r="S560" i="10"/>
  <c r="B561" i="10"/>
  <c r="K561" i="10" s="1"/>
  <c r="C561" i="10"/>
  <c r="I561" i="10" s="1"/>
  <c r="R561" i="10"/>
  <c r="AB561" i="10" s="1"/>
  <c r="S561" i="10"/>
  <c r="B562" i="10"/>
  <c r="E562" i="10" s="1"/>
  <c r="C562" i="10"/>
  <c r="P562" i="10" s="1"/>
  <c r="R562" i="10"/>
  <c r="S562" i="10"/>
  <c r="Y562" i="10" s="1"/>
  <c r="B563" i="10"/>
  <c r="C563" i="10"/>
  <c r="P563" i="10" s="1"/>
  <c r="R563" i="10"/>
  <c r="AA563" i="10" s="1"/>
  <c r="S563" i="10"/>
  <c r="Y563" i="10" s="1"/>
  <c r="B564" i="10"/>
  <c r="E564" i="10" s="1"/>
  <c r="C564" i="10"/>
  <c r="I564" i="10" s="1"/>
  <c r="R564" i="10"/>
  <c r="U564" i="10" s="1"/>
  <c r="S564" i="10"/>
  <c r="Y564" i="10" s="1"/>
  <c r="B565" i="10"/>
  <c r="K565" i="10" s="1"/>
  <c r="C565" i="10"/>
  <c r="I565" i="10" s="1"/>
  <c r="R565" i="10"/>
  <c r="AA565" i="10" s="1"/>
  <c r="S565" i="10"/>
  <c r="B566" i="10"/>
  <c r="E566" i="10" s="1"/>
  <c r="C566" i="10"/>
  <c r="I566" i="10" s="1"/>
  <c r="R566" i="10"/>
  <c r="V566" i="10" s="1"/>
  <c r="S566" i="10"/>
  <c r="Y566" i="10" s="1"/>
  <c r="B567" i="10"/>
  <c r="K567" i="10" s="1"/>
  <c r="C567" i="10"/>
  <c r="P567" i="10" s="1"/>
  <c r="R567" i="10"/>
  <c r="AB567" i="10" s="1"/>
  <c r="S567" i="10"/>
  <c r="Y567" i="10" s="1"/>
  <c r="B568" i="10"/>
  <c r="E568" i="10" s="1"/>
  <c r="C568" i="10"/>
  <c r="I568" i="10" s="1"/>
  <c r="R568" i="10"/>
  <c r="U568" i="10" s="1"/>
  <c r="S568" i="10"/>
  <c r="Y568" i="10" s="1"/>
  <c r="B569" i="10"/>
  <c r="K569" i="10" s="1"/>
  <c r="C569" i="10"/>
  <c r="I569" i="10" s="1"/>
  <c r="R569" i="10"/>
  <c r="AB569" i="10" s="1"/>
  <c r="S569" i="10"/>
  <c r="B570" i="10"/>
  <c r="F570" i="10" s="1"/>
  <c r="C570" i="10"/>
  <c r="R570" i="10"/>
  <c r="U570" i="10" s="1"/>
  <c r="S570" i="10"/>
  <c r="Y570" i="10" s="1"/>
  <c r="B571" i="10"/>
  <c r="L571" i="10" s="1"/>
  <c r="C571" i="10"/>
  <c r="P571" i="10" s="1"/>
  <c r="R571" i="10"/>
  <c r="AB571" i="10" s="1"/>
  <c r="S571" i="10"/>
  <c r="AF571" i="10" s="1"/>
  <c r="B572" i="10"/>
  <c r="L572" i="10" s="1"/>
  <c r="C572" i="10"/>
  <c r="I572" i="10" s="1"/>
  <c r="R572" i="10"/>
  <c r="U572" i="10" s="1"/>
  <c r="S572" i="10"/>
  <c r="Y572" i="10" s="1"/>
  <c r="B573" i="10"/>
  <c r="K573" i="10" s="1"/>
  <c r="C573" i="10"/>
  <c r="I573" i="10" s="1"/>
  <c r="R573" i="10"/>
  <c r="AA573" i="10" s="1"/>
  <c r="S573" i="10"/>
  <c r="B574" i="10"/>
  <c r="K574" i="10" s="1"/>
  <c r="C574" i="10"/>
  <c r="P574" i="10" s="1"/>
  <c r="R574" i="10"/>
  <c r="V574" i="10" s="1"/>
  <c r="S574" i="10"/>
  <c r="Y574" i="10" s="1"/>
  <c r="B575" i="10"/>
  <c r="L575" i="10" s="1"/>
  <c r="C575" i="10"/>
  <c r="P575" i="10" s="1"/>
  <c r="R575" i="10"/>
  <c r="AB575" i="10" s="1"/>
  <c r="S575" i="10"/>
  <c r="AF575" i="10" s="1"/>
  <c r="B576" i="10"/>
  <c r="E576" i="10" s="1"/>
  <c r="C576" i="10"/>
  <c r="I576" i="10" s="1"/>
  <c r="R576" i="10"/>
  <c r="U576" i="10" s="1"/>
  <c r="S576" i="10"/>
  <c r="Y576" i="10" s="1"/>
  <c r="B577" i="10"/>
  <c r="E577" i="10" s="1"/>
  <c r="C577" i="10"/>
  <c r="R577" i="10"/>
  <c r="AA577" i="10" s="1"/>
  <c r="S577" i="10"/>
  <c r="AF577" i="10" s="1"/>
  <c r="B578" i="10"/>
  <c r="K578" i="10" s="1"/>
  <c r="C578" i="10"/>
  <c r="I578" i="10" s="1"/>
  <c r="R578" i="10"/>
  <c r="U578" i="10" s="1"/>
  <c r="S578" i="10"/>
  <c r="B579" i="10"/>
  <c r="H579" i="10" s="1"/>
  <c r="C579" i="10"/>
  <c r="P579" i="10" s="1"/>
  <c r="R579" i="10"/>
  <c r="U579" i="10" s="1"/>
  <c r="S579" i="10"/>
  <c r="AF579" i="10" s="1"/>
  <c r="B580" i="10"/>
  <c r="E580" i="10" s="1"/>
  <c r="C580" i="10"/>
  <c r="I580" i="10" s="1"/>
  <c r="R580" i="10"/>
  <c r="U580" i="10" s="1"/>
  <c r="S580" i="10"/>
  <c r="Y580" i="10" s="1"/>
  <c r="B581" i="10"/>
  <c r="E581" i="10" s="1"/>
  <c r="C581" i="10"/>
  <c r="I581" i="10" s="1"/>
  <c r="R581" i="10"/>
  <c r="AA581" i="10" s="1"/>
  <c r="S581" i="10"/>
  <c r="AF581" i="10" s="1"/>
  <c r="B582" i="10"/>
  <c r="K582" i="10" s="1"/>
  <c r="C582" i="10"/>
  <c r="P582" i="10" s="1"/>
  <c r="R582" i="10"/>
  <c r="U582" i="10" s="1"/>
  <c r="S582" i="10"/>
  <c r="Y582" i="10" s="1"/>
  <c r="B583" i="10"/>
  <c r="H583" i="10" s="1"/>
  <c r="C583" i="10"/>
  <c r="P583" i="10" s="1"/>
  <c r="R583" i="10"/>
  <c r="AB583" i="10" s="1"/>
  <c r="S583" i="10"/>
  <c r="AF583" i="10" s="1"/>
  <c r="B584" i="10"/>
  <c r="E584" i="10" s="1"/>
  <c r="C584" i="10"/>
  <c r="I584" i="10" s="1"/>
  <c r="R584" i="10"/>
  <c r="U584" i="10" s="1"/>
  <c r="S584" i="10"/>
  <c r="AF584" i="10" s="1"/>
  <c r="B585" i="10"/>
  <c r="E585" i="10" s="1"/>
  <c r="C585" i="10"/>
  <c r="I585" i="10" s="1"/>
  <c r="R585" i="10"/>
  <c r="AA585" i="10" s="1"/>
  <c r="S585" i="10"/>
  <c r="AF585" i="10" s="1"/>
  <c r="B586" i="10"/>
  <c r="F586" i="10" s="1"/>
  <c r="C586" i="10"/>
  <c r="I586" i="10" s="1"/>
  <c r="R586" i="10"/>
  <c r="U586" i="10" s="1"/>
  <c r="S586" i="10"/>
  <c r="Y586" i="10" s="1"/>
  <c r="B587" i="10"/>
  <c r="H587" i="10" s="1"/>
  <c r="C587" i="10"/>
  <c r="R587" i="10"/>
  <c r="AB587" i="10" s="1"/>
  <c r="S587" i="10"/>
  <c r="AF587" i="10" s="1"/>
  <c r="B588" i="10"/>
  <c r="E588" i="10" s="1"/>
  <c r="C588" i="10"/>
  <c r="I588" i="10" s="1"/>
  <c r="R588" i="10"/>
  <c r="U588" i="10" s="1"/>
  <c r="S588" i="10"/>
  <c r="Y588" i="10" s="1"/>
  <c r="B589" i="10"/>
  <c r="E589" i="10" s="1"/>
  <c r="C589" i="10"/>
  <c r="I589" i="10" s="1"/>
  <c r="R589" i="10"/>
  <c r="AA589" i="10" s="1"/>
  <c r="S589" i="10"/>
  <c r="AF589" i="10" s="1"/>
  <c r="B590" i="10"/>
  <c r="F590" i="10" s="1"/>
  <c r="C590" i="10"/>
  <c r="I590" i="10" s="1"/>
  <c r="R590" i="10"/>
  <c r="U590" i="10" s="1"/>
  <c r="S590" i="10"/>
  <c r="Y590" i="10" s="1"/>
  <c r="B591" i="10"/>
  <c r="H591" i="10" s="1"/>
  <c r="C591" i="10"/>
  <c r="P591" i="10" s="1"/>
  <c r="R591" i="10"/>
  <c r="AB591" i="10" s="1"/>
  <c r="S591" i="10"/>
  <c r="AF591" i="10" s="1"/>
  <c r="B592" i="10"/>
  <c r="E592" i="10" s="1"/>
  <c r="C592" i="10"/>
  <c r="I592" i="10" s="1"/>
  <c r="R592" i="10"/>
  <c r="U592" i="10" s="1"/>
  <c r="S592" i="10"/>
  <c r="AF592" i="10" s="1"/>
  <c r="B593" i="10"/>
  <c r="E593" i="10" s="1"/>
  <c r="C593" i="10"/>
  <c r="I593" i="10" s="1"/>
  <c r="R593" i="10"/>
  <c r="AA593" i="10" s="1"/>
  <c r="S593" i="10"/>
  <c r="AF593" i="10" s="1"/>
  <c r="B594" i="10"/>
  <c r="K594" i="10" s="1"/>
  <c r="C594" i="10"/>
  <c r="I594" i="10" s="1"/>
  <c r="R594" i="10"/>
  <c r="U594" i="10" s="1"/>
  <c r="S594" i="10"/>
  <c r="Y594" i="10" s="1"/>
  <c r="B595" i="10"/>
  <c r="H595" i="10" s="1"/>
  <c r="C595" i="10"/>
  <c r="P595" i="10" s="1"/>
  <c r="R595" i="10"/>
  <c r="AB595" i="10" s="1"/>
  <c r="S595" i="10"/>
  <c r="AF595" i="10" s="1"/>
  <c r="B596" i="10"/>
  <c r="E596" i="10" s="1"/>
  <c r="C596" i="10"/>
  <c r="I596" i="10" s="1"/>
  <c r="R596" i="10"/>
  <c r="U596" i="10" s="1"/>
  <c r="S596" i="10"/>
  <c r="Y596" i="10" s="1"/>
  <c r="B597" i="10"/>
  <c r="E597" i="10" s="1"/>
  <c r="C597" i="10"/>
  <c r="I597" i="10" s="1"/>
  <c r="R597" i="10"/>
  <c r="AA597" i="10" s="1"/>
  <c r="S597" i="10"/>
  <c r="AF597" i="10" s="1"/>
  <c r="B598" i="10"/>
  <c r="C598" i="10"/>
  <c r="I598" i="10" s="1"/>
  <c r="R598" i="10"/>
  <c r="U598" i="10" s="1"/>
  <c r="S598" i="10"/>
  <c r="Y598" i="10" s="1"/>
  <c r="B599" i="10"/>
  <c r="H599" i="10" s="1"/>
  <c r="C599" i="10"/>
  <c r="P599" i="10" s="1"/>
  <c r="R599" i="10"/>
  <c r="AB599" i="10" s="1"/>
  <c r="S599" i="10"/>
  <c r="B600" i="10"/>
  <c r="E600" i="10" s="1"/>
  <c r="C600" i="10"/>
  <c r="I600" i="10" s="1"/>
  <c r="R600" i="10"/>
  <c r="U600" i="10" s="1"/>
  <c r="S600" i="10"/>
  <c r="Y600" i="10" s="1"/>
  <c r="B601" i="10"/>
  <c r="E601" i="10" s="1"/>
  <c r="C601" i="10"/>
  <c r="I601" i="10" s="1"/>
  <c r="R601" i="10"/>
  <c r="AA601" i="10" s="1"/>
  <c r="S601" i="10"/>
  <c r="AF601" i="10" s="1"/>
  <c r="B602" i="10"/>
  <c r="L602" i="10" s="1"/>
  <c r="C602" i="10"/>
  <c r="P602" i="10" s="1"/>
  <c r="R602" i="10"/>
  <c r="U602" i="10" s="1"/>
  <c r="S602" i="10"/>
  <c r="Y602" i="10" s="1"/>
  <c r="B603" i="10"/>
  <c r="H603" i="10" s="1"/>
  <c r="C603" i="10"/>
  <c r="P603" i="10" s="1"/>
  <c r="R603" i="10"/>
  <c r="S603" i="10"/>
  <c r="AF603" i="10" s="1"/>
  <c r="B604" i="10"/>
  <c r="E604" i="10" s="1"/>
  <c r="C604" i="10"/>
  <c r="I604" i="10" s="1"/>
  <c r="R604" i="10"/>
  <c r="U604" i="10" s="1"/>
  <c r="S604" i="10"/>
  <c r="Y604" i="10" s="1"/>
  <c r="B605" i="10"/>
  <c r="E605" i="10" s="1"/>
  <c r="C605" i="10"/>
  <c r="I605" i="10" s="1"/>
  <c r="R605" i="10"/>
  <c r="AA605" i="10" s="1"/>
  <c r="S605" i="10"/>
  <c r="AF605" i="10" s="1"/>
  <c r="B606" i="10"/>
  <c r="F606" i="10" s="1"/>
  <c r="C606" i="10"/>
  <c r="P606" i="10" s="1"/>
  <c r="R606" i="10"/>
  <c r="U606" i="10" s="1"/>
  <c r="S606" i="10"/>
  <c r="Y606" i="10" s="1"/>
  <c r="B607" i="10"/>
  <c r="H607" i="10" s="1"/>
  <c r="C607" i="10"/>
  <c r="P607" i="10" s="1"/>
  <c r="R607" i="10"/>
  <c r="AB607" i="10" s="1"/>
  <c r="S607" i="10"/>
  <c r="AF607" i="10" s="1"/>
  <c r="B608" i="10"/>
  <c r="E608" i="10" s="1"/>
  <c r="C608" i="10"/>
  <c r="I608" i="10" s="1"/>
  <c r="R608" i="10"/>
  <c r="U608" i="10" s="1"/>
  <c r="S608" i="10"/>
  <c r="Y608" i="10" s="1"/>
  <c r="B609" i="10"/>
  <c r="E609" i="10" s="1"/>
  <c r="C609" i="10"/>
  <c r="I609" i="10" s="1"/>
  <c r="R609" i="10"/>
  <c r="AA609" i="10" s="1"/>
  <c r="S609" i="10"/>
  <c r="AF609" i="10" s="1"/>
  <c r="B610" i="10"/>
  <c r="E610" i="10" s="1"/>
  <c r="C610" i="10"/>
  <c r="P610" i="10" s="1"/>
  <c r="R610" i="10"/>
  <c r="AA610" i="10" s="1"/>
  <c r="S610" i="10"/>
  <c r="Y610" i="10" s="1"/>
  <c r="B611" i="10"/>
  <c r="H611" i="10" s="1"/>
  <c r="C611" i="10"/>
  <c r="P611" i="10" s="1"/>
  <c r="R611" i="10"/>
  <c r="AB611" i="10" s="1"/>
  <c r="S611" i="10"/>
  <c r="Y611" i="10" s="1"/>
  <c r="B612" i="10"/>
  <c r="H612" i="10" s="1"/>
  <c r="C612" i="10"/>
  <c r="I612" i="10" s="1"/>
  <c r="R612" i="10"/>
  <c r="U612" i="10" s="1"/>
  <c r="S612" i="10"/>
  <c r="Y612" i="10" s="1"/>
  <c r="B613" i="10"/>
  <c r="C613" i="10"/>
  <c r="I613" i="10" s="1"/>
  <c r="R613" i="10"/>
  <c r="AA613" i="10" s="1"/>
  <c r="S613" i="10"/>
  <c r="Y613" i="10" s="1"/>
  <c r="B614" i="10"/>
  <c r="E614" i="10" s="1"/>
  <c r="C614" i="10"/>
  <c r="P614" i="10" s="1"/>
  <c r="R614" i="10"/>
  <c r="AA614" i="10" s="1"/>
  <c r="S614" i="10"/>
  <c r="Y614" i="10" s="1"/>
  <c r="B615" i="10"/>
  <c r="H615" i="10" s="1"/>
  <c r="C615" i="10"/>
  <c r="P615" i="10" s="1"/>
  <c r="R615" i="10"/>
  <c r="AB615" i="10" s="1"/>
  <c r="S615" i="10"/>
  <c r="AF615" i="10" s="1"/>
  <c r="B616" i="10"/>
  <c r="H616" i="10" s="1"/>
  <c r="C616" i="10"/>
  <c r="I616" i="10" s="1"/>
  <c r="R616" i="10"/>
  <c r="U616" i="10" s="1"/>
  <c r="S616" i="10"/>
  <c r="Y616" i="10" s="1"/>
  <c r="B617" i="10"/>
  <c r="E617" i="10" s="1"/>
  <c r="C617" i="10"/>
  <c r="I617" i="10" s="1"/>
  <c r="R617" i="10"/>
  <c r="S617" i="10"/>
  <c r="Y617" i="10" s="1"/>
  <c r="B618" i="10"/>
  <c r="K618" i="10" s="1"/>
  <c r="C618" i="10"/>
  <c r="I618" i="10" s="1"/>
  <c r="R618" i="10"/>
  <c r="AA618" i="10" s="1"/>
  <c r="S618" i="10"/>
  <c r="Y618" i="10" s="1"/>
  <c r="B619" i="10"/>
  <c r="K619" i="10" s="1"/>
  <c r="C619" i="10"/>
  <c r="P619" i="10" s="1"/>
  <c r="R619" i="10"/>
  <c r="AB619" i="10" s="1"/>
  <c r="S619" i="10"/>
  <c r="AF619" i="10" s="1"/>
  <c r="B620" i="10"/>
  <c r="H620" i="10" s="1"/>
  <c r="C620" i="10"/>
  <c r="I620" i="10" s="1"/>
  <c r="R620" i="10"/>
  <c r="U620" i="10" s="1"/>
  <c r="S620" i="10"/>
  <c r="AF620" i="10" s="1"/>
  <c r="B621" i="10"/>
  <c r="F621" i="10" s="1"/>
  <c r="C621" i="10"/>
  <c r="I621" i="10" s="1"/>
  <c r="R621" i="10"/>
  <c r="U621" i="10" s="1"/>
  <c r="S621" i="10"/>
  <c r="Y621" i="10" s="1"/>
  <c r="B622" i="10"/>
  <c r="F622" i="10" s="1"/>
  <c r="C622" i="10"/>
  <c r="I622" i="10" s="1"/>
  <c r="R622" i="10"/>
  <c r="AA622" i="10" s="1"/>
  <c r="S622" i="10"/>
  <c r="Y622" i="10" s="1"/>
  <c r="B623" i="10"/>
  <c r="L623" i="10" s="1"/>
  <c r="C623" i="10"/>
  <c r="P623" i="10" s="1"/>
  <c r="R623" i="10"/>
  <c r="AB623" i="10" s="1"/>
  <c r="S623" i="10"/>
  <c r="AF623" i="10" s="1"/>
  <c r="B624" i="10"/>
  <c r="H624" i="10" s="1"/>
  <c r="C624" i="10"/>
  <c r="I624" i="10" s="1"/>
  <c r="R624" i="10"/>
  <c r="U624" i="10" s="1"/>
  <c r="S624" i="10"/>
  <c r="AF624" i="10" s="1"/>
  <c r="B625" i="10"/>
  <c r="E625" i="10" s="1"/>
  <c r="C625" i="10"/>
  <c r="I625" i="10" s="1"/>
  <c r="R625" i="10"/>
  <c r="U625" i="10" s="1"/>
  <c r="S625" i="10"/>
  <c r="Y625" i="10" s="1"/>
  <c r="B626" i="10"/>
  <c r="E626" i="10" s="1"/>
  <c r="C626" i="10"/>
  <c r="I626" i="10" s="1"/>
  <c r="R626" i="10"/>
  <c r="AA626" i="10" s="1"/>
  <c r="S626" i="10"/>
  <c r="B627" i="10"/>
  <c r="L627" i="10" s="1"/>
  <c r="C627" i="10"/>
  <c r="P627" i="10" s="1"/>
  <c r="R627" i="10"/>
  <c r="AB627" i="10" s="1"/>
  <c r="S627" i="10"/>
  <c r="AF627" i="10" s="1"/>
  <c r="B628" i="10"/>
  <c r="H628" i="10" s="1"/>
  <c r="C628" i="10"/>
  <c r="I628" i="10" s="1"/>
  <c r="R628" i="10"/>
  <c r="U628" i="10" s="1"/>
  <c r="S628" i="10"/>
  <c r="Y628" i="10" s="1"/>
  <c r="B629" i="10"/>
  <c r="F629" i="10" s="1"/>
  <c r="C629" i="10"/>
  <c r="I629" i="10" s="1"/>
  <c r="R629" i="10"/>
  <c r="U629" i="10" s="1"/>
  <c r="S629" i="10"/>
  <c r="AF629" i="10" s="1"/>
  <c r="B630" i="10"/>
  <c r="E630" i="10" s="1"/>
  <c r="C630" i="10"/>
  <c r="P630" i="10" s="1"/>
  <c r="R630" i="10"/>
  <c r="AA630" i="10" s="1"/>
  <c r="S630" i="10"/>
  <c r="Y630" i="10" s="1"/>
  <c r="B631" i="10"/>
  <c r="C631" i="10"/>
  <c r="P631" i="10" s="1"/>
  <c r="R631" i="10"/>
  <c r="AB631" i="10" s="1"/>
  <c r="S631" i="10"/>
  <c r="Y631" i="10" s="1"/>
  <c r="B632" i="10"/>
  <c r="H632" i="10" s="1"/>
  <c r="C632" i="10"/>
  <c r="I632" i="10" s="1"/>
  <c r="R632" i="10"/>
  <c r="U632" i="10" s="1"/>
  <c r="S632" i="10"/>
  <c r="AF632" i="10" s="1"/>
  <c r="B633" i="10"/>
  <c r="H633" i="10" s="1"/>
  <c r="C633" i="10"/>
  <c r="P633" i="10" s="1"/>
  <c r="R633" i="10"/>
  <c r="U633" i="10" s="1"/>
  <c r="S633" i="10"/>
  <c r="AF633" i="10" s="1"/>
  <c r="B634" i="10"/>
  <c r="H634" i="10" s="1"/>
  <c r="C634" i="10"/>
  <c r="P634" i="10" s="1"/>
  <c r="R634" i="10"/>
  <c r="AA634" i="10" s="1"/>
  <c r="S634" i="10"/>
  <c r="Y634" i="10" s="1"/>
  <c r="B635" i="10"/>
  <c r="H635" i="10" s="1"/>
  <c r="C635" i="10"/>
  <c r="P635" i="10" s="1"/>
  <c r="R635" i="10"/>
  <c r="AB635" i="10" s="1"/>
  <c r="S635" i="10"/>
  <c r="Y635" i="10" s="1"/>
  <c r="B636" i="10"/>
  <c r="H636" i="10" s="1"/>
  <c r="C636" i="10"/>
  <c r="I636" i="10" s="1"/>
  <c r="R636" i="10"/>
  <c r="U636" i="10" s="1"/>
  <c r="S636" i="10"/>
  <c r="AF636" i="10" s="1"/>
  <c r="B637" i="10"/>
  <c r="E637" i="10" s="1"/>
  <c r="C637" i="10"/>
  <c r="P637" i="10" s="1"/>
  <c r="R637" i="10"/>
  <c r="AB637" i="10" s="1"/>
  <c r="S637" i="10"/>
  <c r="AF637" i="10" s="1"/>
  <c r="B638" i="10"/>
  <c r="K638" i="10" s="1"/>
  <c r="C638" i="10"/>
  <c r="P638" i="10" s="1"/>
  <c r="R638" i="10"/>
  <c r="AA638" i="10" s="1"/>
  <c r="S638" i="10"/>
  <c r="Y638" i="10" s="1"/>
  <c r="B639" i="10"/>
  <c r="H639" i="10" s="1"/>
  <c r="C639" i="10"/>
  <c r="P639" i="10" s="1"/>
  <c r="R639" i="10"/>
  <c r="AB639" i="10" s="1"/>
  <c r="S639" i="10"/>
  <c r="Y639" i="10" s="1"/>
  <c r="B640" i="10"/>
  <c r="H640" i="10" s="1"/>
  <c r="C640" i="10"/>
  <c r="I640" i="10" s="1"/>
  <c r="R640" i="10"/>
  <c r="U640" i="10" s="1"/>
  <c r="S640" i="10"/>
  <c r="Y640" i="10" s="1"/>
  <c r="B641" i="10"/>
  <c r="F641" i="10" s="1"/>
  <c r="C641" i="10"/>
  <c r="I641" i="10" s="1"/>
  <c r="R641" i="10"/>
  <c r="AB641" i="10" s="1"/>
  <c r="S641" i="10"/>
  <c r="AF641" i="10" s="1"/>
  <c r="B642" i="10"/>
  <c r="F642" i="10" s="1"/>
  <c r="C642" i="10"/>
  <c r="I642" i="10" s="1"/>
  <c r="R642" i="10"/>
  <c r="AA642" i="10" s="1"/>
  <c r="S642" i="10"/>
  <c r="Y642" i="10" s="1"/>
  <c r="B643" i="10"/>
  <c r="H643" i="10" s="1"/>
  <c r="C643" i="10"/>
  <c r="P643" i="10" s="1"/>
  <c r="R643" i="10"/>
  <c r="AB643" i="10" s="1"/>
  <c r="S643" i="10"/>
  <c r="Y643" i="10" s="1"/>
  <c r="B644" i="10"/>
  <c r="H644" i="10" s="1"/>
  <c r="C644" i="10"/>
  <c r="I644" i="10" s="1"/>
  <c r="R644" i="10"/>
  <c r="U644" i="10" s="1"/>
  <c r="S644" i="10"/>
  <c r="AF644" i="10" s="1"/>
  <c r="B645" i="10"/>
  <c r="H645" i="10" s="1"/>
  <c r="C645" i="10"/>
  <c r="P645" i="10" s="1"/>
  <c r="R645" i="10"/>
  <c r="AA645" i="10" s="1"/>
  <c r="S645" i="10"/>
  <c r="Y645" i="10" s="1"/>
  <c r="B646" i="10"/>
  <c r="E646" i="10" s="1"/>
  <c r="C646" i="10"/>
  <c r="I646" i="10" s="1"/>
  <c r="R646" i="10"/>
  <c r="AA646" i="10" s="1"/>
  <c r="S646" i="10"/>
  <c r="Y646" i="10" s="1"/>
  <c r="B647" i="10"/>
  <c r="L647" i="10" s="1"/>
  <c r="C647" i="10"/>
  <c r="P647" i="10" s="1"/>
  <c r="R647" i="10"/>
  <c r="AB647" i="10" s="1"/>
  <c r="S647" i="10"/>
  <c r="AF647" i="10" s="1"/>
  <c r="B648" i="10"/>
  <c r="H648" i="10" s="1"/>
  <c r="C648" i="10"/>
  <c r="I648" i="10" s="1"/>
  <c r="R648" i="10"/>
  <c r="U648" i="10" s="1"/>
  <c r="S648" i="10"/>
  <c r="Y648" i="10" s="1"/>
  <c r="B649" i="10"/>
  <c r="E649" i="10" s="1"/>
  <c r="C649" i="10"/>
  <c r="I649" i="10" s="1"/>
  <c r="R649" i="10"/>
  <c r="S649" i="10"/>
  <c r="Y649" i="10" s="1"/>
  <c r="B650" i="10"/>
  <c r="K650" i="10" s="1"/>
  <c r="C650" i="10"/>
  <c r="P650" i="10" s="1"/>
  <c r="R650" i="10"/>
  <c r="AA650" i="10" s="1"/>
  <c r="S650" i="10"/>
  <c r="Y650" i="10" s="1"/>
  <c r="B651" i="10"/>
  <c r="L651" i="10" s="1"/>
  <c r="C651" i="10"/>
  <c r="P651" i="10" s="1"/>
  <c r="R651" i="10"/>
  <c r="AB651" i="10" s="1"/>
  <c r="S651" i="10"/>
  <c r="AF651" i="10" s="1"/>
  <c r="B652" i="10"/>
  <c r="H652" i="10" s="1"/>
  <c r="C652" i="10"/>
  <c r="I652" i="10" s="1"/>
  <c r="R652" i="10"/>
  <c r="U652" i="10" s="1"/>
  <c r="S652" i="10"/>
  <c r="AF652" i="10" s="1"/>
  <c r="B653" i="10"/>
  <c r="F653" i="10" s="1"/>
  <c r="C653" i="10"/>
  <c r="I653" i="10" s="1"/>
  <c r="R653" i="10"/>
  <c r="U653" i="10" s="1"/>
  <c r="S653" i="10"/>
  <c r="Y653" i="10" s="1"/>
  <c r="B654" i="10"/>
  <c r="H654" i="10" s="1"/>
  <c r="C654" i="10"/>
  <c r="I654" i="10" s="1"/>
  <c r="R654" i="10"/>
  <c r="AA654" i="10" s="1"/>
  <c r="S654" i="10"/>
  <c r="Y654" i="10" s="1"/>
  <c r="B655" i="10"/>
  <c r="K655" i="10" s="1"/>
  <c r="C655" i="10"/>
  <c r="P655" i="10" s="1"/>
  <c r="R655" i="10"/>
  <c r="AB655" i="10" s="1"/>
  <c r="S655" i="10"/>
  <c r="AF655" i="10" s="1"/>
  <c r="B656" i="10"/>
  <c r="H656" i="10" s="1"/>
  <c r="C656" i="10"/>
  <c r="I656" i="10" s="1"/>
  <c r="R656" i="10"/>
  <c r="U656" i="10" s="1"/>
  <c r="S656" i="10"/>
  <c r="Y656" i="10" s="1"/>
  <c r="B657" i="10"/>
  <c r="H657" i="10" s="1"/>
  <c r="C657" i="10"/>
  <c r="I657" i="10" s="1"/>
  <c r="R657" i="10"/>
  <c r="U657" i="10" s="1"/>
  <c r="S657" i="10"/>
  <c r="AF657" i="10" s="1"/>
  <c r="B658" i="10"/>
  <c r="E658" i="10" s="1"/>
  <c r="C658" i="10"/>
  <c r="I658" i="10" s="1"/>
  <c r="R658" i="10"/>
  <c r="AA658" i="10" s="1"/>
  <c r="S658" i="10"/>
  <c r="Y658" i="10" s="1"/>
  <c r="B659" i="10"/>
  <c r="L659" i="10" s="1"/>
  <c r="C659" i="10"/>
  <c r="P659" i="10" s="1"/>
  <c r="R659" i="10"/>
  <c r="AB659" i="10" s="1"/>
  <c r="S659" i="10"/>
  <c r="Y659" i="10" s="1"/>
  <c r="B660" i="10"/>
  <c r="H660" i="10" s="1"/>
  <c r="C660" i="10"/>
  <c r="I660" i="10" s="1"/>
  <c r="R660" i="10"/>
  <c r="U660" i="10" s="1"/>
  <c r="S660" i="10"/>
  <c r="AF660" i="10" s="1"/>
  <c r="B661" i="10"/>
  <c r="E661" i="10" s="1"/>
  <c r="C661" i="10"/>
  <c r="I661" i="10" s="1"/>
  <c r="R661" i="10"/>
  <c r="AA661" i="10" s="1"/>
  <c r="S661" i="10"/>
  <c r="AF661" i="10" s="1"/>
  <c r="D3" i="4"/>
  <c r="L24" i="1"/>
  <c r="L25" i="1"/>
  <c r="Y433" i="10" l="1"/>
  <c r="Y429" i="10"/>
  <c r="Y425" i="10"/>
  <c r="Y440" i="10"/>
  <c r="Y436" i="10"/>
  <c r="Y424" i="10"/>
  <c r="Y431" i="10"/>
  <c r="AD431" i="10" s="1"/>
  <c r="AE431" i="10" s="1"/>
  <c r="Y427" i="10"/>
  <c r="Y438" i="10"/>
  <c r="F650" i="10"/>
  <c r="F451" i="10"/>
  <c r="K510" i="10"/>
  <c r="X583" i="10"/>
  <c r="E510" i="10"/>
  <c r="L495" i="10"/>
  <c r="AB660" i="10"/>
  <c r="K627" i="10"/>
  <c r="U595" i="10"/>
  <c r="Y548" i="10"/>
  <c r="Y581" i="10"/>
  <c r="U506" i="10"/>
  <c r="K491" i="10"/>
  <c r="AB614" i="10"/>
  <c r="F477" i="10"/>
  <c r="K452" i="10"/>
  <c r="L655" i="10"/>
  <c r="L626" i="10"/>
  <c r="AA575" i="10"/>
  <c r="P566" i="10"/>
  <c r="Y554" i="10"/>
  <c r="X499" i="10"/>
  <c r="X592" i="10"/>
  <c r="AF552" i="10"/>
  <c r="H459" i="10"/>
  <c r="N459" i="10" s="1"/>
  <c r="AB427" i="10"/>
  <c r="V552" i="10"/>
  <c r="P535" i="10"/>
  <c r="E478" i="10"/>
  <c r="AB476" i="10"/>
  <c r="V425" i="10"/>
  <c r="P533" i="10"/>
  <c r="AF525" i="10"/>
  <c r="P636" i="10"/>
  <c r="P456" i="10"/>
  <c r="E570" i="10"/>
  <c r="AA526" i="10"/>
  <c r="I630" i="10"/>
  <c r="K487" i="10"/>
  <c r="K628" i="10"/>
  <c r="H453" i="10"/>
  <c r="H641" i="10"/>
  <c r="E487" i="10"/>
  <c r="I637" i="10"/>
  <c r="I603" i="10"/>
  <c r="N603" i="10" s="1"/>
  <c r="I549" i="10"/>
  <c r="P499" i="10"/>
  <c r="P642" i="10"/>
  <c r="F618" i="10"/>
  <c r="P569" i="10"/>
  <c r="I541" i="10"/>
  <c r="K523" i="10"/>
  <c r="K506" i="10"/>
  <c r="H495" i="10"/>
  <c r="P454" i="10"/>
  <c r="E532" i="10"/>
  <c r="E495" i="10"/>
  <c r="E574" i="10"/>
  <c r="I583" i="10"/>
  <c r="H570" i="10"/>
  <c r="AA632" i="10"/>
  <c r="X610" i="10"/>
  <c r="AD610" i="10" s="1"/>
  <c r="AE610" i="10" s="1"/>
  <c r="H609" i="10"/>
  <c r="N609" i="10" s="1"/>
  <c r="U546" i="10"/>
  <c r="X537" i="10"/>
  <c r="F527" i="10"/>
  <c r="K658" i="10"/>
  <c r="H646" i="10"/>
  <c r="N646" i="10" s="1"/>
  <c r="V522" i="10"/>
  <c r="E496" i="10"/>
  <c r="L656" i="10"/>
  <c r="H623" i="10"/>
  <c r="E612" i="10"/>
  <c r="V583" i="10"/>
  <c r="E582" i="10"/>
  <c r="AF576" i="10"/>
  <c r="P572" i="10"/>
  <c r="AF558" i="10"/>
  <c r="H557" i="10"/>
  <c r="N557" i="10" s="1"/>
  <c r="U553" i="10"/>
  <c r="P539" i="10"/>
  <c r="I534" i="10"/>
  <c r="F528" i="10"/>
  <c r="P513" i="10"/>
  <c r="L506" i="10"/>
  <c r="F487" i="10"/>
  <c r="E471" i="10"/>
  <c r="AB436" i="10"/>
  <c r="AA429" i="10"/>
  <c r="AA660" i="10"/>
  <c r="P632" i="10"/>
  <c r="K626" i="10"/>
  <c r="I610" i="10"/>
  <c r="F573" i="10"/>
  <c r="AF566" i="10"/>
  <c r="P544" i="10"/>
  <c r="P523" i="10"/>
  <c r="H504" i="10"/>
  <c r="AF492" i="10"/>
  <c r="K483" i="10"/>
  <c r="Y455" i="10"/>
  <c r="X660" i="10"/>
  <c r="AF648" i="10"/>
  <c r="X628" i="10"/>
  <c r="AD628" i="10" s="1"/>
  <c r="AE628" i="10" s="1"/>
  <c r="V591" i="10"/>
  <c r="P590" i="10"/>
  <c r="V559" i="10"/>
  <c r="P489" i="10"/>
  <c r="X487" i="10"/>
  <c r="H626" i="10"/>
  <c r="N626" i="10" s="1"/>
  <c r="E573" i="10"/>
  <c r="P553" i="10"/>
  <c r="E650" i="10"/>
  <c r="I643" i="10"/>
  <c r="Y636" i="10"/>
  <c r="I627" i="10"/>
  <c r="V616" i="10"/>
  <c r="K606" i="10"/>
  <c r="AB602" i="10"/>
  <c r="AF564" i="10"/>
  <c r="H561" i="10"/>
  <c r="N561" i="10" s="1"/>
  <c r="E553" i="10"/>
  <c r="AA548" i="10"/>
  <c r="F547" i="10"/>
  <c r="V536" i="10"/>
  <c r="P532" i="10"/>
  <c r="AA450" i="10"/>
  <c r="AB440" i="10"/>
  <c r="L662" i="10"/>
  <c r="L527" i="10"/>
  <c r="L658" i="10"/>
  <c r="I655" i="10"/>
  <c r="P641" i="10"/>
  <c r="AB632" i="10"/>
  <c r="Y629" i="10"/>
  <c r="I591" i="10"/>
  <c r="N591" i="10" s="1"/>
  <c r="K527" i="10"/>
  <c r="I517" i="10"/>
  <c r="F496" i="10"/>
  <c r="P490" i="10"/>
  <c r="L487" i="10"/>
  <c r="I529" i="10"/>
  <c r="N529" i="10" s="1"/>
  <c r="P529" i="10"/>
  <c r="X647" i="10"/>
  <c r="L646" i="10"/>
  <c r="L632" i="10"/>
  <c r="Y623" i="10"/>
  <c r="F614" i="10"/>
  <c r="H605" i="10"/>
  <c r="N605" i="10" s="1"/>
  <c r="F602" i="10"/>
  <c r="P578" i="10"/>
  <c r="AF560" i="10"/>
  <c r="Y560" i="10"/>
  <c r="P559" i="10"/>
  <c r="I559" i="10"/>
  <c r="X534" i="10"/>
  <c r="V534" i="10"/>
  <c r="L533" i="10"/>
  <c r="H532" i="10"/>
  <c r="N532" i="10" s="1"/>
  <c r="V502" i="10"/>
  <c r="K479" i="10"/>
  <c r="F479" i="10"/>
  <c r="AB468" i="10"/>
  <c r="K456" i="10"/>
  <c r="E456" i="10"/>
  <c r="AB426" i="10"/>
  <c r="F657" i="10"/>
  <c r="K651" i="10"/>
  <c r="I650" i="10"/>
  <c r="Y626" i="10"/>
  <c r="AF626" i="10"/>
  <c r="E660" i="10"/>
  <c r="E657" i="10"/>
  <c r="Y652" i="10"/>
  <c r="H651" i="10"/>
  <c r="H650" i="10"/>
  <c r="V647" i="10"/>
  <c r="K646" i="10"/>
  <c r="AB644" i="10"/>
  <c r="E638" i="10"/>
  <c r="F632" i="10"/>
  <c r="Y627" i="10"/>
  <c r="P625" i="10"/>
  <c r="U623" i="10"/>
  <c r="AF616" i="10"/>
  <c r="U607" i="10"/>
  <c r="L606" i="10"/>
  <c r="AB603" i="10"/>
  <c r="U603" i="10"/>
  <c r="P586" i="10"/>
  <c r="E578" i="10"/>
  <c r="E545" i="10"/>
  <c r="K533" i="10"/>
  <c r="F532" i="10"/>
  <c r="U523" i="10"/>
  <c r="X523" i="10"/>
  <c r="F514" i="10"/>
  <c r="K514" i="10"/>
  <c r="H514" i="10"/>
  <c r="P509" i="10"/>
  <c r="I509" i="10"/>
  <c r="I497" i="10"/>
  <c r="P497" i="10"/>
  <c r="AF489" i="10"/>
  <c r="Y489" i="10"/>
  <c r="Y478" i="10"/>
  <c r="AF478" i="10"/>
  <c r="I470" i="10"/>
  <c r="AB464" i="10"/>
  <c r="L614" i="10"/>
  <c r="K614" i="10"/>
  <c r="E606" i="10"/>
  <c r="AF599" i="10"/>
  <c r="Y599" i="10"/>
  <c r="K598" i="10"/>
  <c r="F598" i="10"/>
  <c r="AB579" i="10"/>
  <c r="AA579" i="10"/>
  <c r="P570" i="10"/>
  <c r="I570" i="10"/>
  <c r="L540" i="10"/>
  <c r="K540" i="10"/>
  <c r="E540" i="10"/>
  <c r="I538" i="10"/>
  <c r="V526" i="10"/>
  <c r="X526" i="10"/>
  <c r="X520" i="10"/>
  <c r="AB520" i="10"/>
  <c r="Y516" i="10"/>
  <c r="AF516" i="10"/>
  <c r="AF514" i="10"/>
  <c r="I502" i="10"/>
  <c r="P502" i="10"/>
  <c r="F491" i="10"/>
  <c r="H491" i="10"/>
  <c r="H488" i="10"/>
  <c r="E488" i="10"/>
  <c r="K470" i="10"/>
  <c r="E470" i="10"/>
  <c r="AB563" i="10"/>
  <c r="X563" i="10"/>
  <c r="AD563" i="10" s="1"/>
  <c r="AE563" i="10" s="1"/>
  <c r="Y490" i="10"/>
  <c r="AF490" i="10"/>
  <c r="K475" i="10"/>
  <c r="E475" i="10"/>
  <c r="I455" i="10"/>
  <c r="P455" i="10"/>
  <c r="P587" i="10"/>
  <c r="I587" i="10"/>
  <c r="N587" i="10" s="1"/>
  <c r="F518" i="10"/>
  <c r="L518" i="10"/>
  <c r="I511" i="10"/>
  <c r="P511" i="10"/>
  <c r="P478" i="10"/>
  <c r="I478" i="10"/>
  <c r="L452" i="10"/>
  <c r="H452" i="10"/>
  <c r="N452" i="10" s="1"/>
  <c r="V660" i="10"/>
  <c r="H655" i="10"/>
  <c r="I614" i="10"/>
  <c r="AB606" i="10"/>
  <c r="Y578" i="10"/>
  <c r="AF578" i="10"/>
  <c r="I577" i="10"/>
  <c r="P577" i="10"/>
  <c r="K566" i="10"/>
  <c r="Y537" i="10"/>
  <c r="U534" i="10"/>
  <c r="F530" i="10"/>
  <c r="E530" i="10"/>
  <c r="H523" i="10"/>
  <c r="N523" i="10" s="1"/>
  <c r="F523" i="10"/>
  <c r="L523" i="10"/>
  <c r="AB509" i="10"/>
  <c r="E479" i="10"/>
  <c r="P453" i="10"/>
  <c r="I453" i="10"/>
  <c r="AA535" i="10"/>
  <c r="X535" i="10"/>
  <c r="L650" i="10"/>
  <c r="E628" i="10"/>
  <c r="K656" i="10"/>
  <c r="AB622" i="10"/>
  <c r="H614" i="10"/>
  <c r="I611" i="10"/>
  <c r="N611" i="10" s="1"/>
  <c r="Y603" i="10"/>
  <c r="AB598" i="10"/>
  <c r="I595" i="10"/>
  <c r="N595" i="10" s="1"/>
  <c r="L574" i="10"/>
  <c r="H574" i="10"/>
  <c r="L559" i="10"/>
  <c r="E558" i="10"/>
  <c r="L558" i="10"/>
  <c r="H558" i="10"/>
  <c r="N558" i="10" s="1"/>
  <c r="E547" i="10"/>
  <c r="K544" i="10"/>
  <c r="AA531" i="10"/>
  <c r="AB531" i="10"/>
  <c r="X529" i="10"/>
  <c r="U525" i="10"/>
  <c r="I514" i="10"/>
  <c r="U510" i="10"/>
  <c r="I493" i="10"/>
  <c r="P493" i="10"/>
  <c r="U491" i="10"/>
  <c r="V491" i="10"/>
  <c r="E484" i="10"/>
  <c r="F483" i="10"/>
  <c r="H483" i="10"/>
  <c r="N483" i="10" s="1"/>
  <c r="L483" i="10"/>
  <c r="E474" i="10"/>
  <c r="P465" i="10"/>
  <c r="I465" i="10"/>
  <c r="N465" i="10" s="1"/>
  <c r="AF428" i="10"/>
  <c r="Y428" i="10"/>
  <c r="E451" i="10"/>
  <c r="V427" i="10"/>
  <c r="H573" i="10"/>
  <c r="N573" i="10" s="1"/>
  <c r="U559" i="10"/>
  <c r="U530" i="10"/>
  <c r="E528" i="10"/>
  <c r="E527" i="10"/>
  <c r="L510" i="10"/>
  <c r="E506" i="10"/>
  <c r="V499" i="10"/>
  <c r="K495" i="10"/>
  <c r="V452" i="10"/>
  <c r="AA440" i="10"/>
  <c r="AF429" i="10"/>
  <c r="H451" i="10"/>
  <c r="AA639" i="10"/>
  <c r="X655" i="10"/>
  <c r="X651" i="10"/>
  <c r="K630" i="10"/>
  <c r="L660" i="10"/>
  <c r="K659" i="10"/>
  <c r="V655" i="10"/>
  <c r="V651" i="10"/>
  <c r="AF645" i="10"/>
  <c r="Y641" i="10"/>
  <c r="U639" i="10"/>
  <c r="I638" i="10"/>
  <c r="AA635" i="10"/>
  <c r="AB628" i="10"/>
  <c r="V624" i="10"/>
  <c r="P622" i="10"/>
  <c r="V619" i="10"/>
  <c r="P618" i="10"/>
  <c r="F610" i="10"/>
  <c r="H606" i="10"/>
  <c r="K602" i="10"/>
  <c r="H601" i="10"/>
  <c r="N601" i="10" s="1"/>
  <c r="U599" i="10"/>
  <c r="P598" i="10"/>
  <c r="H594" i="10"/>
  <c r="AB592" i="10"/>
  <c r="I582" i="10"/>
  <c r="X579" i="10"/>
  <c r="V572" i="10"/>
  <c r="V571" i="10"/>
  <c r="L570" i="10"/>
  <c r="V564" i="10"/>
  <c r="K562" i="10"/>
  <c r="AA559" i="10"/>
  <c r="AA556" i="10"/>
  <c r="AF553" i="10"/>
  <c r="H553" i="10"/>
  <c r="N553" i="10" s="1"/>
  <c r="F551" i="10"/>
  <c r="Y540" i="10"/>
  <c r="AF534" i="10"/>
  <c r="AB530" i="10"/>
  <c r="V527" i="10"/>
  <c r="P526" i="10"/>
  <c r="V518" i="10"/>
  <c r="U512" i="10"/>
  <c r="F499" i="10"/>
  <c r="V497" i="10"/>
  <c r="F497" i="10"/>
  <c r="P491" i="10"/>
  <c r="X486" i="10"/>
  <c r="AD486" i="10" s="1"/>
  <c r="AE486" i="10" s="1"/>
  <c r="P481" i="10"/>
  <c r="K476" i="10"/>
  <c r="H473" i="10"/>
  <c r="N473" i="10" s="1"/>
  <c r="E472" i="10"/>
  <c r="K468" i="10"/>
  <c r="I464" i="10"/>
  <c r="X462" i="10"/>
  <c r="AA461" i="10"/>
  <c r="X461" i="10"/>
  <c r="AF425" i="10"/>
  <c r="AA421" i="10"/>
  <c r="AA655" i="10"/>
  <c r="AA641" i="10"/>
  <c r="V639" i="10"/>
  <c r="F660" i="10"/>
  <c r="I659" i="10"/>
  <c r="U655" i="10"/>
  <c r="AB645" i="10"/>
  <c r="U641" i="10"/>
  <c r="F638" i="10"/>
  <c r="U635" i="10"/>
  <c r="AA628" i="10"/>
  <c r="K623" i="10"/>
  <c r="Y620" i="10"/>
  <c r="U619" i="10"/>
  <c r="P612" i="10"/>
  <c r="H602" i="10"/>
  <c r="K595" i="10"/>
  <c r="E594" i="10"/>
  <c r="Y592" i="10"/>
  <c r="F582" i="10"/>
  <c r="V579" i="10"/>
  <c r="U571" i="10"/>
  <c r="K570" i="10"/>
  <c r="P565" i="10"/>
  <c r="I563" i="10"/>
  <c r="I562" i="10"/>
  <c r="Y559" i="10"/>
  <c r="Y556" i="10"/>
  <c r="V553" i="10"/>
  <c r="F553" i="10"/>
  <c r="E551" i="10"/>
  <c r="I550" i="10"/>
  <c r="AF541" i="10"/>
  <c r="Y535" i="10"/>
  <c r="AB534" i="10"/>
  <c r="V530" i="10"/>
  <c r="AB529" i="10"/>
  <c r="AB526" i="10"/>
  <c r="X522" i="10"/>
  <c r="AD522" i="10" s="1"/>
  <c r="AE522" i="10" s="1"/>
  <c r="I521" i="10"/>
  <c r="N521" i="10" s="1"/>
  <c r="AF506" i="10"/>
  <c r="P504" i="10"/>
  <c r="AB499" i="10"/>
  <c r="U497" i="10"/>
  <c r="Y495" i="10"/>
  <c r="P492" i="10"/>
  <c r="L491" i="10"/>
  <c r="P487" i="10"/>
  <c r="U486" i="10"/>
  <c r="P485" i="10"/>
  <c r="V483" i="10"/>
  <c r="H477" i="10"/>
  <c r="E476" i="10"/>
  <c r="F473" i="10"/>
  <c r="AF466" i="10"/>
  <c r="V462" i="10"/>
  <c r="I461" i="10"/>
  <c r="P452" i="10"/>
  <c r="P451" i="10"/>
  <c r="Y434" i="10"/>
  <c r="U431" i="10"/>
  <c r="AA444" i="10"/>
  <c r="V444" i="10"/>
  <c r="Y421" i="10"/>
  <c r="AF421" i="10"/>
  <c r="V628" i="10"/>
  <c r="E618" i="10"/>
  <c r="P613" i="10"/>
  <c r="E602" i="10"/>
  <c r="E598" i="10"/>
  <c r="V560" i="10"/>
  <c r="E469" i="10"/>
  <c r="F469" i="10"/>
  <c r="L468" i="10"/>
  <c r="H468" i="10"/>
  <c r="AF426" i="10"/>
  <c r="Y426" i="10"/>
  <c r="U421" i="10"/>
  <c r="X421" i="10"/>
  <c r="I645" i="10"/>
  <c r="N645" i="10" s="1"/>
  <c r="K632" i="10"/>
  <c r="AB621" i="10"/>
  <c r="K620" i="10"/>
  <c r="AB616" i="10"/>
  <c r="Y607" i="10"/>
  <c r="P580" i="10"/>
  <c r="F578" i="10"/>
  <c r="F574" i="10"/>
  <c r="I567" i="10"/>
  <c r="AF562" i="10"/>
  <c r="AF550" i="10"/>
  <c r="V525" i="10"/>
  <c r="P524" i="10"/>
  <c r="I518" i="10"/>
  <c r="P515" i="10"/>
  <c r="P494" i="10"/>
  <c r="X491" i="10"/>
  <c r="I486" i="10"/>
  <c r="P466" i="10"/>
  <c r="L456" i="10"/>
  <c r="H456" i="10"/>
  <c r="N456" i="10" s="1"/>
  <c r="AB564" i="10"/>
  <c r="L497" i="10"/>
  <c r="AF617" i="10"/>
  <c r="K610" i="10"/>
  <c r="AA571" i="10"/>
  <c r="AA564" i="10"/>
  <c r="K553" i="10"/>
  <c r="P551" i="10"/>
  <c r="P542" i="10"/>
  <c r="P507" i="10"/>
  <c r="AF504" i="10"/>
  <c r="K497" i="10"/>
  <c r="I480" i="10"/>
  <c r="K472" i="10"/>
  <c r="P467" i="10"/>
  <c r="P460" i="10"/>
  <c r="I460" i="10"/>
  <c r="Y423" i="10"/>
  <c r="X639" i="10"/>
  <c r="AD639" i="10" s="1"/>
  <c r="AE639" i="10" s="1"/>
  <c r="AA619" i="10"/>
  <c r="I606" i="10"/>
  <c r="L594" i="10"/>
  <c r="AA572" i="10"/>
  <c r="Y571" i="10"/>
  <c r="X564" i="10"/>
  <c r="AD564" i="10" s="1"/>
  <c r="AE564" i="10" s="1"/>
  <c r="H551" i="10"/>
  <c r="N551" i="10" s="1"/>
  <c r="X527" i="10"/>
  <c r="AA518" i="10"/>
  <c r="AB512" i="10"/>
  <c r="L499" i="10"/>
  <c r="AB497" i="10"/>
  <c r="H497" i="10"/>
  <c r="H472" i="10"/>
  <c r="P468" i="10"/>
  <c r="AB433" i="10"/>
  <c r="P459" i="10"/>
  <c r="U440" i="10"/>
  <c r="AA438" i="10"/>
  <c r="U425" i="10"/>
  <c r="K662" i="10"/>
  <c r="I662" i="10"/>
  <c r="AD552" i="10"/>
  <c r="AE552" i="10" s="1"/>
  <c r="N530" i="10"/>
  <c r="N641" i="10"/>
  <c r="E652" i="10"/>
  <c r="E642" i="10"/>
  <c r="U637" i="10"/>
  <c r="U634" i="10"/>
  <c r="F634" i="10"/>
  <c r="F633" i="10"/>
  <c r="X631" i="10"/>
  <c r="AD631" i="10" s="1"/>
  <c r="AE631" i="10" s="1"/>
  <c r="E624" i="10"/>
  <c r="E622" i="10"/>
  <c r="H619" i="10"/>
  <c r="P616" i="10"/>
  <c r="AB613" i="10"/>
  <c r="K607" i="10"/>
  <c r="AB605" i="10"/>
  <c r="L604" i="10"/>
  <c r="E590" i="10"/>
  <c r="E586" i="10"/>
  <c r="K575" i="10"/>
  <c r="K571" i="10"/>
  <c r="AA569" i="10"/>
  <c r="L564" i="10"/>
  <c r="F555" i="10"/>
  <c r="AF546" i="10"/>
  <c r="I546" i="10"/>
  <c r="I545" i="10"/>
  <c r="AA542" i="10"/>
  <c r="E542" i="10"/>
  <c r="X539" i="10"/>
  <c r="F538" i="10"/>
  <c r="H538" i="10"/>
  <c r="E531" i="10"/>
  <c r="F531" i="10"/>
  <c r="H531" i="10"/>
  <c r="H525" i="10"/>
  <c r="P519" i="10"/>
  <c r="H517" i="10"/>
  <c r="N517" i="10" s="1"/>
  <c r="X514" i="10"/>
  <c r="AD514" i="10" s="1"/>
  <c r="AE514" i="10" s="1"/>
  <c r="Y510" i="10"/>
  <c r="AF510" i="10"/>
  <c r="Y509" i="10"/>
  <c r="AF509" i="10"/>
  <c r="AB505" i="10"/>
  <c r="I503" i="10"/>
  <c r="P503" i="10"/>
  <c r="F502" i="10"/>
  <c r="E502" i="10"/>
  <c r="H502" i="10"/>
  <c r="N502" i="10" s="1"/>
  <c r="P500" i="10"/>
  <c r="V498" i="10"/>
  <c r="U498" i="10"/>
  <c r="AB498" i="10"/>
  <c r="H493" i="10"/>
  <c r="AF486" i="10"/>
  <c r="X656" i="10"/>
  <c r="AD656" i="10" s="1"/>
  <c r="AE656" i="10" s="1"/>
  <c r="V654" i="10"/>
  <c r="F654" i="10"/>
  <c r="K647" i="10"/>
  <c r="E644" i="10"/>
  <c r="K660" i="10"/>
  <c r="P658" i="10"/>
  <c r="V656" i="10"/>
  <c r="E654" i="10"/>
  <c r="I651" i="10"/>
  <c r="F648" i="10"/>
  <c r="H647" i="10"/>
  <c r="P646" i="10"/>
  <c r="N644" i="10"/>
  <c r="H638" i="10"/>
  <c r="AA636" i="10"/>
  <c r="X635" i="10"/>
  <c r="AD635" i="10" s="1"/>
  <c r="AE635" i="10" s="1"/>
  <c r="E634" i="10"/>
  <c r="E633" i="10"/>
  <c r="V631" i="10"/>
  <c r="L630" i="10"/>
  <c r="F628" i="10"/>
  <c r="P626" i="10"/>
  <c r="Y624" i="10"/>
  <c r="I623" i="10"/>
  <c r="Y619" i="10"/>
  <c r="H618" i="10"/>
  <c r="N618" i="10" s="1"/>
  <c r="F616" i="10"/>
  <c r="K615" i="10"/>
  <c r="L610" i="10"/>
  <c r="AB609" i="10"/>
  <c r="L608" i="10"/>
  <c r="I607" i="10"/>
  <c r="N607" i="10" s="1"/>
  <c r="I602" i="10"/>
  <c r="H598" i="10"/>
  <c r="N598" i="10" s="1"/>
  <c r="H597" i="10"/>
  <c r="N597" i="10" s="1"/>
  <c r="Y595" i="10"/>
  <c r="AB594" i="10"/>
  <c r="F594" i="10"/>
  <c r="X591" i="10"/>
  <c r="H582" i="10"/>
  <c r="P581" i="10"/>
  <c r="H578" i="10"/>
  <c r="N578" i="10" s="1"/>
  <c r="P576" i="10"/>
  <c r="I575" i="10"/>
  <c r="I574" i="10"/>
  <c r="P573" i="10"/>
  <c r="X572" i="10"/>
  <c r="AD572" i="10" s="1"/>
  <c r="AE572" i="10" s="1"/>
  <c r="I571" i="10"/>
  <c r="L566" i="10"/>
  <c r="L562" i="10"/>
  <c r="AA561" i="10"/>
  <c r="P558" i="10"/>
  <c r="E555" i="10"/>
  <c r="AB552" i="10"/>
  <c r="H546" i="10"/>
  <c r="F545" i="10"/>
  <c r="Y543" i="10"/>
  <c r="H540" i="10"/>
  <c r="N540" i="10" s="1"/>
  <c r="AF539" i="10"/>
  <c r="Y539" i="10"/>
  <c r="U538" i="10"/>
  <c r="AA538" i="10"/>
  <c r="X525" i="10"/>
  <c r="AD525" i="10" s="1"/>
  <c r="AE525" i="10" s="1"/>
  <c r="H513" i="10"/>
  <c r="N513" i="10" s="1"/>
  <c r="E513" i="10"/>
  <c r="L513" i="10"/>
  <c r="L512" i="10"/>
  <c r="F512" i="10"/>
  <c r="H512" i="10"/>
  <c r="L508" i="10"/>
  <c r="F508" i="10"/>
  <c r="H508" i="10"/>
  <c r="K508" i="10"/>
  <c r="E508" i="10"/>
  <c r="AB501" i="10"/>
  <c r="I498" i="10"/>
  <c r="P498" i="10"/>
  <c r="L480" i="10"/>
  <c r="E480" i="10"/>
  <c r="H480" i="10"/>
  <c r="K480" i="10"/>
  <c r="L536" i="10"/>
  <c r="F536" i="10"/>
  <c r="AF507" i="10"/>
  <c r="Y507" i="10"/>
  <c r="L500" i="10"/>
  <c r="F500" i="10"/>
  <c r="H500" i="10"/>
  <c r="N500" i="10" s="1"/>
  <c r="E500" i="10"/>
  <c r="F498" i="10"/>
  <c r="H498" i="10"/>
  <c r="E498" i="10"/>
  <c r="X490" i="10"/>
  <c r="AD490" i="10" s="1"/>
  <c r="AE490" i="10" s="1"/>
  <c r="AA490" i="10"/>
  <c r="P654" i="10"/>
  <c r="L590" i="10"/>
  <c r="L586" i="10"/>
  <c r="E529" i="10"/>
  <c r="F529" i="10"/>
  <c r="K529" i="10"/>
  <c r="AF526" i="10"/>
  <c r="Y526" i="10"/>
  <c r="K525" i="10"/>
  <c r="L525" i="10"/>
  <c r="E525" i="10"/>
  <c r="AA521" i="10"/>
  <c r="V521" i="10"/>
  <c r="K519" i="10"/>
  <c r="E519" i="10"/>
  <c r="F519" i="10"/>
  <c r="K517" i="10"/>
  <c r="E517" i="10"/>
  <c r="AA514" i="10"/>
  <c r="U514" i="10"/>
  <c r="AB514" i="10"/>
  <c r="AA505" i="10"/>
  <c r="V505" i="10"/>
  <c r="Y502" i="10"/>
  <c r="AF502" i="10"/>
  <c r="K493" i="10"/>
  <c r="L493" i="10"/>
  <c r="E493" i="10"/>
  <c r="Y482" i="10"/>
  <c r="AF482" i="10"/>
  <c r="L654" i="10"/>
  <c r="AB646" i="10"/>
  <c r="Y644" i="10"/>
  <c r="K642" i="10"/>
  <c r="H637" i="10"/>
  <c r="L634" i="10"/>
  <c r="H630" i="10"/>
  <c r="K622" i="10"/>
  <c r="X615" i="10"/>
  <c r="H610" i="10"/>
  <c r="N610" i="10" s="1"/>
  <c r="P594" i="10"/>
  <c r="K590" i="10"/>
  <c r="K586" i="10"/>
  <c r="AB576" i="10"/>
  <c r="AF570" i="10"/>
  <c r="H569" i="10"/>
  <c r="N569" i="10" s="1"/>
  <c r="H566" i="10"/>
  <c r="N566" i="10" s="1"/>
  <c r="H565" i="10"/>
  <c r="N565" i="10" s="1"/>
  <c r="H562" i="10"/>
  <c r="P561" i="10"/>
  <c r="P557" i="10"/>
  <c r="H549" i="10"/>
  <c r="L542" i="10"/>
  <c r="K538" i="10"/>
  <c r="U531" i="10"/>
  <c r="X531" i="10"/>
  <c r="AF528" i="10"/>
  <c r="Y524" i="10"/>
  <c r="AD524" i="10" s="1"/>
  <c r="AE524" i="10" s="1"/>
  <c r="AF524" i="10"/>
  <c r="I520" i="10"/>
  <c r="P520" i="10"/>
  <c r="AF512" i="10"/>
  <c r="Y512" i="10"/>
  <c r="AD512" i="10" s="1"/>
  <c r="AE512" i="10" s="1"/>
  <c r="P505" i="10"/>
  <c r="I505" i="10"/>
  <c r="P501" i="10"/>
  <c r="I501" i="10"/>
  <c r="L642" i="10"/>
  <c r="H661" i="10"/>
  <c r="N661" i="10" s="1"/>
  <c r="F637" i="10"/>
  <c r="F630" i="10"/>
  <c r="H629" i="10"/>
  <c r="N629" i="10" s="1"/>
  <c r="L624" i="10"/>
  <c r="F569" i="10"/>
  <c r="F566" i="10"/>
  <c r="F565" i="10"/>
  <c r="F562" i="10"/>
  <c r="L555" i="10"/>
  <c r="AB554" i="10"/>
  <c r="F549" i="10"/>
  <c r="AF544" i="10"/>
  <c r="H544" i="10"/>
  <c r="N544" i="10" s="1"/>
  <c r="K542" i="10"/>
  <c r="K536" i="10"/>
  <c r="F534" i="10"/>
  <c r="E534" i="10"/>
  <c r="L531" i="10"/>
  <c r="I510" i="10"/>
  <c r="P510" i="10"/>
  <c r="Y508" i="10"/>
  <c r="AD508" i="10" s="1"/>
  <c r="AE508" i="10" s="1"/>
  <c r="AF508" i="10"/>
  <c r="E505" i="10"/>
  <c r="L505" i="10"/>
  <c r="L504" i="10"/>
  <c r="K504" i="10"/>
  <c r="E504" i="10"/>
  <c r="E501" i="10"/>
  <c r="K501" i="10"/>
  <c r="AA498" i="10"/>
  <c r="I495" i="10"/>
  <c r="P495" i="10"/>
  <c r="P482" i="10"/>
  <c r="I482" i="10"/>
  <c r="N457" i="10"/>
  <c r="H658" i="10"/>
  <c r="N658" i="10" s="1"/>
  <c r="O658" i="10" s="1"/>
  <c r="K654" i="10"/>
  <c r="V646" i="10"/>
  <c r="F661" i="10"/>
  <c r="F656" i="10"/>
  <c r="AF654" i="10"/>
  <c r="P653" i="10"/>
  <c r="K652" i="10"/>
  <c r="V648" i="10"/>
  <c r="H642" i="10"/>
  <c r="N642" i="10" s="1"/>
  <c r="L638" i="10"/>
  <c r="AA637" i="10"/>
  <c r="I634" i="10"/>
  <c r="I633" i="10"/>
  <c r="X632" i="10"/>
  <c r="E629" i="10"/>
  <c r="F626" i="10"/>
  <c r="F625" i="10"/>
  <c r="K624" i="10"/>
  <c r="X622" i="10"/>
  <c r="AD622" i="10" s="1"/>
  <c r="AE622" i="10" s="1"/>
  <c r="H622" i="10"/>
  <c r="N622" i="10" s="1"/>
  <c r="P621" i="10"/>
  <c r="L619" i="10"/>
  <c r="L618" i="10"/>
  <c r="U615" i="10"/>
  <c r="X611" i="10"/>
  <c r="AD611" i="10" s="1"/>
  <c r="AE611" i="10" s="1"/>
  <c r="K599" i="10"/>
  <c r="L598" i="10"/>
  <c r="AB597" i="10"/>
  <c r="L596" i="10"/>
  <c r="H590" i="10"/>
  <c r="N590" i="10" s="1"/>
  <c r="H586" i="10"/>
  <c r="N586" i="10" s="1"/>
  <c r="L582" i="10"/>
  <c r="L578" i="10"/>
  <c r="X576" i="10"/>
  <c r="AD576" i="10" s="1"/>
  <c r="AE576" i="10" s="1"/>
  <c r="E569" i="10"/>
  <c r="V567" i="10"/>
  <c r="E565" i="10"/>
  <c r="V563" i="10"/>
  <c r="F561" i="10"/>
  <c r="U558" i="10"/>
  <c r="F558" i="10"/>
  <c r="F557" i="10"/>
  <c r="K555" i="10"/>
  <c r="E549" i="10"/>
  <c r="P548" i="10"/>
  <c r="L546" i="10"/>
  <c r="F544" i="10"/>
  <c r="AB539" i="10"/>
  <c r="AB538" i="10"/>
  <c r="E538" i="10"/>
  <c r="P537" i="10"/>
  <c r="I536" i="10"/>
  <c r="AF533" i="10"/>
  <c r="K531" i="10"/>
  <c r="P525" i="10"/>
  <c r="AF518" i="10"/>
  <c r="Y518" i="10"/>
  <c r="X516" i="10"/>
  <c r="U516" i="10"/>
  <c r="H515" i="10"/>
  <c r="F515" i="10"/>
  <c r="E515" i="10"/>
  <c r="K512" i="10"/>
  <c r="AF503" i="10"/>
  <c r="Y503" i="10"/>
  <c r="X498" i="10"/>
  <c r="L622" i="10"/>
  <c r="K634" i="10"/>
  <c r="V615" i="10"/>
  <c r="X659" i="10"/>
  <c r="AD659" i="10" s="1"/>
  <c r="AE659" i="10" s="1"/>
  <c r="F658" i="10"/>
  <c r="U646" i="10"/>
  <c r="F646" i="10"/>
  <c r="V659" i="10"/>
  <c r="E656" i="10"/>
  <c r="X654" i="10"/>
  <c r="AD654" i="10" s="1"/>
  <c r="AE654" i="10" s="1"/>
  <c r="E653" i="10"/>
  <c r="F652" i="10"/>
  <c r="P644" i="10"/>
  <c r="Y637" i="10"/>
  <c r="AF634" i="10"/>
  <c r="V632" i="10"/>
  <c r="L628" i="10"/>
  <c r="F624" i="10"/>
  <c r="V622" i="10"/>
  <c r="E621" i="10"/>
  <c r="V611" i="10"/>
  <c r="K603" i="10"/>
  <c r="AB601" i="10"/>
  <c r="L600" i="10"/>
  <c r="I599" i="10"/>
  <c r="N599" i="10" s="1"/>
  <c r="X584" i="10"/>
  <c r="I579" i="10"/>
  <c r="N579" i="10" s="1"/>
  <c r="AB572" i="10"/>
  <c r="U563" i="10"/>
  <c r="E561" i="10"/>
  <c r="L560" i="10"/>
  <c r="E557" i="10"/>
  <c r="P556" i="10"/>
  <c r="K546" i="10"/>
  <c r="L545" i="10"/>
  <c r="U544" i="10"/>
  <c r="AF542" i="10"/>
  <c r="H542" i="10"/>
  <c r="N542" i="10" s="1"/>
  <c r="P540" i="10"/>
  <c r="AA539" i="10"/>
  <c r="V538" i="10"/>
  <c r="H536" i="10"/>
  <c r="N536" i="10" s="1"/>
  <c r="U535" i="10"/>
  <c r="V535" i="10"/>
  <c r="AB535" i="10"/>
  <c r="V533" i="10"/>
  <c r="I531" i="10"/>
  <c r="P531" i="10"/>
  <c r="L529" i="10"/>
  <c r="P527" i="10"/>
  <c r="P522" i="10"/>
  <c r="L521" i="10"/>
  <c r="E521" i="10"/>
  <c r="F521" i="10"/>
  <c r="K521" i="10"/>
  <c r="I516" i="10"/>
  <c r="F513" i="10"/>
  <c r="I512" i="10"/>
  <c r="I508" i="10"/>
  <c r="AB503" i="10"/>
  <c r="X503" i="10"/>
  <c r="AF496" i="10"/>
  <c r="X530" i="10"/>
  <c r="AA520" i="10"/>
  <c r="K516" i="10"/>
  <c r="P506" i="10"/>
  <c r="AF505" i="10"/>
  <c r="X502" i="10"/>
  <c r="V486" i="10"/>
  <c r="V484" i="10"/>
  <c r="H476" i="10"/>
  <c r="F475" i="10"/>
  <c r="U474" i="10"/>
  <c r="X473" i="10"/>
  <c r="AF470" i="10"/>
  <c r="K464" i="10"/>
  <c r="P463" i="10"/>
  <c r="K460" i="10"/>
  <c r="Y458" i="10"/>
  <c r="AB450" i="10"/>
  <c r="AF438" i="10"/>
  <c r="AF433" i="10"/>
  <c r="U424" i="10"/>
  <c r="AA476" i="10"/>
  <c r="AA468" i="10"/>
  <c r="H464" i="10"/>
  <c r="H460" i="10"/>
  <c r="P457" i="10"/>
  <c r="Y453" i="10"/>
  <c r="X450" i="10"/>
  <c r="AD450" i="10" s="1"/>
  <c r="AE450" i="10" s="1"/>
  <c r="X449" i="10"/>
  <c r="V433" i="10"/>
  <c r="AB507" i="10"/>
  <c r="X506" i="10"/>
  <c r="AD506" i="10" s="1"/>
  <c r="AE506" i="10" s="1"/>
  <c r="K499" i="10"/>
  <c r="I484" i="10"/>
  <c r="N484" i="10" s="1"/>
  <c r="Y481" i="10"/>
  <c r="P477" i="10"/>
  <c r="V476" i="10"/>
  <c r="P473" i="10"/>
  <c r="P471" i="10"/>
  <c r="P469" i="10"/>
  <c r="V468" i="10"/>
  <c r="V464" i="10"/>
  <c r="E464" i="10"/>
  <c r="E460" i="10"/>
  <c r="F459" i="10"/>
  <c r="K458" i="10"/>
  <c r="X453" i="10"/>
  <c r="U450" i="10"/>
  <c r="V449" i="10"/>
  <c r="X438" i="10"/>
  <c r="AD438" i="10" s="1"/>
  <c r="AE438" i="10" s="1"/>
  <c r="U433" i="10"/>
  <c r="AF431" i="10"/>
  <c r="V429" i="10"/>
  <c r="V426" i="10"/>
  <c r="X425" i="10"/>
  <c r="AD425" i="10" s="1"/>
  <c r="AE425" i="10" s="1"/>
  <c r="AA422" i="10"/>
  <c r="AB421" i="10"/>
  <c r="V512" i="10"/>
  <c r="H510" i="10"/>
  <c r="V506" i="10"/>
  <c r="H506" i="10"/>
  <c r="N506" i="10" s="1"/>
  <c r="L503" i="10"/>
  <c r="AA499" i="10"/>
  <c r="H499" i="10"/>
  <c r="N499" i="10" s="1"/>
  <c r="X497" i="10"/>
  <c r="AD497" i="10" s="1"/>
  <c r="AE497" i="10" s="1"/>
  <c r="P496" i="10"/>
  <c r="I488" i="10"/>
  <c r="P483" i="10"/>
  <c r="P479" i="10"/>
  <c r="AF474" i="10"/>
  <c r="I474" i="10"/>
  <c r="I472" i="10"/>
  <c r="F471" i="10"/>
  <c r="L465" i="10"/>
  <c r="U464" i="10"/>
  <c r="Y462" i="10"/>
  <c r="Y461" i="10"/>
  <c r="AF460" i="10"/>
  <c r="V453" i="10"/>
  <c r="AB442" i="10"/>
  <c r="U438" i="10"/>
  <c r="AF436" i="10"/>
  <c r="U429" i="10"/>
  <c r="K465" i="10"/>
  <c r="H455" i="10"/>
  <c r="X442" i="10"/>
  <c r="AF424" i="10"/>
  <c r="AB484" i="10"/>
  <c r="X474" i="10"/>
  <c r="AD474" i="10" s="1"/>
  <c r="AE474" i="10" s="1"/>
  <c r="F455" i="10"/>
  <c r="K454" i="10"/>
  <c r="V442" i="10"/>
  <c r="AA430" i="10"/>
  <c r="AB424" i="10"/>
  <c r="AA484" i="10"/>
  <c r="I476" i="10"/>
  <c r="P475" i="10"/>
  <c r="V474" i="10"/>
  <c r="U442" i="10"/>
  <c r="V430" i="10"/>
  <c r="X424" i="10"/>
  <c r="H662" i="10"/>
  <c r="F662" i="10"/>
  <c r="AF662" i="10"/>
  <c r="V623" i="10"/>
  <c r="V607" i="10"/>
  <c r="V603" i="10"/>
  <c r="V599" i="10"/>
  <c r="V595" i="10"/>
  <c r="Y585" i="10"/>
  <c r="Y584" i="10"/>
  <c r="AF582" i="10"/>
  <c r="X567" i="10"/>
  <c r="AD567" i="10" s="1"/>
  <c r="AE567" i="10" s="1"/>
  <c r="X560" i="10"/>
  <c r="V546" i="10"/>
  <c r="V544" i="10"/>
  <c r="AF521" i="10"/>
  <c r="V516" i="10"/>
  <c r="AF511" i="10"/>
  <c r="Y511" i="10"/>
  <c r="V510" i="10"/>
  <c r="AF494" i="10"/>
  <c r="U482" i="10"/>
  <c r="V482" i="10"/>
  <c r="X482" i="10"/>
  <c r="U478" i="10"/>
  <c r="V478" i="10"/>
  <c r="X478" i="10"/>
  <c r="AD478" i="10" s="1"/>
  <c r="AE478" i="10" s="1"/>
  <c r="AF432" i="10"/>
  <c r="Y432" i="10"/>
  <c r="Y493" i="10"/>
  <c r="AF493" i="10"/>
  <c r="X469" i="10"/>
  <c r="V469" i="10"/>
  <c r="AF465" i="10"/>
  <c r="Y465" i="10"/>
  <c r="U446" i="10"/>
  <c r="AA446" i="10"/>
  <c r="AB446" i="10"/>
  <c r="X446" i="10"/>
  <c r="AD446" i="10" s="1"/>
  <c r="AE446" i="10" s="1"/>
  <c r="AA441" i="10"/>
  <c r="X441" i="10"/>
  <c r="Y660" i="10"/>
  <c r="U659" i="10"/>
  <c r="AF658" i="10"/>
  <c r="Y655" i="10"/>
  <c r="AD655" i="10" s="1"/>
  <c r="AE655" i="10" s="1"/>
  <c r="U651" i="10"/>
  <c r="AF649" i="10"/>
  <c r="U647" i="10"/>
  <c r="X646" i="10"/>
  <c r="AD646" i="10" s="1"/>
  <c r="AE646" i="10" s="1"/>
  <c r="X636" i="10"/>
  <c r="AD636" i="10" s="1"/>
  <c r="AE636" i="10" s="1"/>
  <c r="V635" i="10"/>
  <c r="Y632" i="10"/>
  <c r="U631" i="10"/>
  <c r="AA627" i="10"/>
  <c r="AF625" i="10"/>
  <c r="AF622" i="10"/>
  <c r="X620" i="10"/>
  <c r="AD620" i="10" s="1"/>
  <c r="AE620" i="10" s="1"/>
  <c r="X619" i="10"/>
  <c r="AA615" i="10"/>
  <c r="AF613" i="10"/>
  <c r="U611" i="10"/>
  <c r="AF608" i="10"/>
  <c r="AF604" i="10"/>
  <c r="AF600" i="10"/>
  <c r="AF596" i="10"/>
  <c r="AA592" i="10"/>
  <c r="AA591" i="10"/>
  <c r="AF588" i="10"/>
  <c r="V584" i="10"/>
  <c r="U583" i="10"/>
  <c r="AF580" i="10"/>
  <c r="Y577" i="10"/>
  <c r="AA576" i="10"/>
  <c r="X571" i="10"/>
  <c r="AF568" i="10"/>
  <c r="U567" i="10"/>
  <c r="U566" i="10"/>
  <c r="X559" i="10"/>
  <c r="AD559" i="10" s="1"/>
  <c r="AE559" i="10" s="1"/>
  <c r="AB556" i="10"/>
  <c r="AA554" i="10"/>
  <c r="AA552" i="10"/>
  <c r="AB550" i="10"/>
  <c r="AB548" i="10"/>
  <c r="AB542" i="10"/>
  <c r="X538" i="10"/>
  <c r="AD538" i="10" s="1"/>
  <c r="AE538" i="10" s="1"/>
  <c r="V537" i="10"/>
  <c r="U536" i="10"/>
  <c r="AA534" i="10"/>
  <c r="AF532" i="10"/>
  <c r="AA529" i="10"/>
  <c r="V529" i="10"/>
  <c r="Y527" i="10"/>
  <c r="AD527" i="10" s="1"/>
  <c r="AE527" i="10" s="1"/>
  <c r="N527" i="10"/>
  <c r="O527" i="10" s="1"/>
  <c r="AB524" i="10"/>
  <c r="V523" i="10"/>
  <c r="U522" i="10"/>
  <c r="U521" i="10"/>
  <c r="X518" i="10"/>
  <c r="AA512" i="10"/>
  <c r="AB506" i="10"/>
  <c r="U503" i="10"/>
  <c r="V503" i="10"/>
  <c r="AA503" i="10"/>
  <c r="AA493" i="10"/>
  <c r="X493" i="10"/>
  <c r="V493" i="10"/>
  <c r="X488" i="10"/>
  <c r="AD488" i="10" s="1"/>
  <c r="AE488" i="10" s="1"/>
  <c r="V488" i="10"/>
  <c r="AA488" i="10"/>
  <c r="U488" i="10"/>
  <c r="AF487" i="10"/>
  <c r="Y487" i="10"/>
  <c r="U470" i="10"/>
  <c r="V470" i="10"/>
  <c r="X470" i="10"/>
  <c r="AD470" i="10" s="1"/>
  <c r="AE470" i="10" s="1"/>
  <c r="AA465" i="10"/>
  <c r="X465" i="10"/>
  <c r="AF628" i="10"/>
  <c r="AB608" i="10"/>
  <c r="AB604" i="10"/>
  <c r="AB600" i="10"/>
  <c r="AB596" i="10"/>
  <c r="AB588" i="10"/>
  <c r="AB580" i="10"/>
  <c r="AF572" i="10"/>
  <c r="AB568" i="10"/>
  <c r="AF563" i="10"/>
  <c r="AA550" i="10"/>
  <c r="AA533" i="10"/>
  <c r="U533" i="10"/>
  <c r="Y517" i="10"/>
  <c r="AF517" i="10"/>
  <c r="U458" i="10"/>
  <c r="V458" i="10"/>
  <c r="X458" i="10"/>
  <c r="AA458" i="10"/>
  <c r="Y442" i="10"/>
  <c r="AD442" i="10" s="1"/>
  <c r="AE442" i="10" s="1"/>
  <c r="AF442" i="10"/>
  <c r="Y435" i="10"/>
  <c r="AD435" i="10" s="1"/>
  <c r="AE435" i="10" s="1"/>
  <c r="AF435" i="10"/>
  <c r="X650" i="10"/>
  <c r="AD650" i="10" s="1"/>
  <c r="AE650" i="10" s="1"/>
  <c r="AB618" i="10"/>
  <c r="X614" i="10"/>
  <c r="AD614" i="10" s="1"/>
  <c r="AE614" i="10" s="1"/>
  <c r="AF612" i="10"/>
  <c r="AA608" i="10"/>
  <c r="AA604" i="10"/>
  <c r="AA600" i="10"/>
  <c r="AA596" i="10"/>
  <c r="AA588" i="10"/>
  <c r="AA587" i="10"/>
  <c r="AA580" i="10"/>
  <c r="X575" i="10"/>
  <c r="AA568" i="10"/>
  <c r="X554" i="10"/>
  <c r="AD554" i="10" s="1"/>
  <c r="AE554" i="10" s="1"/>
  <c r="AB546" i="10"/>
  <c r="X542" i="10"/>
  <c r="AD542" i="10" s="1"/>
  <c r="AE542" i="10" s="1"/>
  <c r="AF529" i="10"/>
  <c r="AB502" i="10"/>
  <c r="AA502" i="10"/>
  <c r="Y501" i="10"/>
  <c r="V494" i="10"/>
  <c r="X494" i="10"/>
  <c r="AD494" i="10" s="1"/>
  <c r="AE494" i="10" s="1"/>
  <c r="AA494" i="10"/>
  <c r="U494" i="10"/>
  <c r="U490" i="10"/>
  <c r="V490" i="10"/>
  <c r="X466" i="10"/>
  <c r="AD466" i="10" s="1"/>
  <c r="AE466" i="10" s="1"/>
  <c r="AA466" i="10"/>
  <c r="AB466" i="10"/>
  <c r="V466" i="10"/>
  <c r="AF420" i="10"/>
  <c r="Y420" i="10"/>
  <c r="X643" i="10"/>
  <c r="AD643" i="10" s="1"/>
  <c r="AE643" i="10" s="1"/>
  <c r="AF639" i="10"/>
  <c r="X627" i="10"/>
  <c r="AF659" i="10"/>
  <c r="AF656" i="10"/>
  <c r="X652" i="10"/>
  <c r="V650" i="10"/>
  <c r="V643" i="10"/>
  <c r="V642" i="10"/>
  <c r="AA633" i="10"/>
  <c r="AF631" i="10"/>
  <c r="V627" i="10"/>
  <c r="AA623" i="10"/>
  <c r="X618" i="10"/>
  <c r="AD618" i="10" s="1"/>
  <c r="AE618" i="10" s="1"/>
  <c r="V614" i="10"/>
  <c r="AB612" i="10"/>
  <c r="AA607" i="10"/>
  <c r="AA603" i="10"/>
  <c r="AA599" i="10"/>
  <c r="AA595" i="10"/>
  <c r="V592" i="10"/>
  <c r="U591" i="10"/>
  <c r="X587" i="10"/>
  <c r="V576" i="10"/>
  <c r="V575" i="10"/>
  <c r="AF567" i="10"/>
  <c r="AB560" i="10"/>
  <c r="X556" i="10"/>
  <c r="AD556" i="10" s="1"/>
  <c r="AE556" i="10" s="1"/>
  <c r="X555" i="10"/>
  <c r="V554" i="10"/>
  <c r="X550" i="10"/>
  <c r="AD550" i="10" s="1"/>
  <c r="AE550" i="10" s="1"/>
  <c r="V548" i="10"/>
  <c r="AA546" i="10"/>
  <c r="AB544" i="10"/>
  <c r="V542" i="10"/>
  <c r="Y531" i="10"/>
  <c r="AF522" i="10"/>
  <c r="AB516" i="10"/>
  <c r="V508" i="10"/>
  <c r="U507" i="10"/>
  <c r="X507" i="10"/>
  <c r="X504" i="10"/>
  <c r="AD504" i="10" s="1"/>
  <c r="AE504" i="10" s="1"/>
  <c r="V504" i="10"/>
  <c r="U504" i="10"/>
  <c r="AF500" i="10"/>
  <c r="AB482" i="10"/>
  <c r="X480" i="10"/>
  <c r="AD480" i="10" s="1"/>
  <c r="AE480" i="10" s="1"/>
  <c r="V480" i="10"/>
  <c r="AA480" i="10"/>
  <c r="AB480" i="10"/>
  <c r="U480" i="10"/>
  <c r="AB478" i="10"/>
  <c r="AB454" i="10"/>
  <c r="X454" i="10"/>
  <c r="AD454" i="10" s="1"/>
  <c r="AE454" i="10" s="1"/>
  <c r="AA454" i="10"/>
  <c r="V454" i="10"/>
  <c r="AF445" i="10"/>
  <c r="Y445" i="10"/>
  <c r="AD445" i="10" s="1"/>
  <c r="AE445" i="10" s="1"/>
  <c r="AA643" i="10"/>
  <c r="X642" i="10"/>
  <c r="AD642" i="10" s="1"/>
  <c r="AE642" i="10" s="1"/>
  <c r="Y661" i="10"/>
  <c r="AF640" i="10"/>
  <c r="V638" i="10"/>
  <c r="AA631" i="10"/>
  <c r="U627" i="10"/>
  <c r="V618" i="10"/>
  <c r="U614" i="10"/>
  <c r="AA612" i="10"/>
  <c r="AF611" i="10"/>
  <c r="X608" i="10"/>
  <c r="AD608" i="10" s="1"/>
  <c r="AE608" i="10" s="1"/>
  <c r="X604" i="10"/>
  <c r="AD604" i="10" s="1"/>
  <c r="AE604" i="10" s="1"/>
  <c r="X600" i="10"/>
  <c r="AD600" i="10" s="1"/>
  <c r="AE600" i="10" s="1"/>
  <c r="X596" i="10"/>
  <c r="AD596" i="10" s="1"/>
  <c r="AE596" i="10" s="1"/>
  <c r="X588" i="10"/>
  <c r="AD588" i="10" s="1"/>
  <c r="AE588" i="10" s="1"/>
  <c r="V587" i="10"/>
  <c r="AB584" i="10"/>
  <c r="X580" i="10"/>
  <c r="AD580" i="10" s="1"/>
  <c r="AE580" i="10" s="1"/>
  <c r="U575" i="10"/>
  <c r="AF574" i="10"/>
  <c r="X568" i="10"/>
  <c r="AD568" i="10" s="1"/>
  <c r="AE568" i="10" s="1"/>
  <c r="AA567" i="10"/>
  <c r="AB565" i="10"/>
  <c r="AA560" i="10"/>
  <c r="V556" i="10"/>
  <c r="V555" i="10"/>
  <c r="V550" i="10"/>
  <c r="U548" i="10"/>
  <c r="AA544" i="10"/>
  <c r="X540" i="10"/>
  <c r="AD540" i="10" s="1"/>
  <c r="AE540" i="10" s="1"/>
  <c r="U540" i="10"/>
  <c r="AB533" i="10"/>
  <c r="Y530" i="10"/>
  <c r="AF530" i="10"/>
  <c r="AA522" i="10"/>
  <c r="AA516" i="10"/>
  <c r="AB510" i="10"/>
  <c r="U508" i="10"/>
  <c r="AF497" i="10"/>
  <c r="AA482" i="10"/>
  <c r="AA478" i="10"/>
  <c r="X460" i="10"/>
  <c r="AD460" i="10" s="1"/>
  <c r="AE460" i="10" s="1"/>
  <c r="U460" i="10"/>
  <c r="V460" i="10"/>
  <c r="AA460" i="10"/>
  <c r="AB460" i="10"/>
  <c r="X448" i="10"/>
  <c r="AD448" i="10" s="1"/>
  <c r="AE448" i="10" s="1"/>
  <c r="AA448" i="10"/>
  <c r="AB448" i="10"/>
  <c r="V448" i="10"/>
  <c r="Y444" i="10"/>
  <c r="AF444" i="10"/>
  <c r="AB650" i="10"/>
  <c r="AA659" i="10"/>
  <c r="V652" i="10"/>
  <c r="AA651" i="10"/>
  <c r="U650" i="10"/>
  <c r="U643" i="10"/>
  <c r="U642" i="10"/>
  <c r="U661" i="10"/>
  <c r="N656" i="10"/>
  <c r="O656" i="10" s="1"/>
  <c r="AB654" i="10"/>
  <c r="Y651" i="10"/>
  <c r="AA647" i="10"/>
  <c r="AB636" i="10"/>
  <c r="AB630" i="10"/>
  <c r="X623" i="10"/>
  <c r="AD623" i="10" s="1"/>
  <c r="AE623" i="10" s="1"/>
  <c r="U618" i="10"/>
  <c r="AA611" i="10"/>
  <c r="V608" i="10"/>
  <c r="X607" i="10"/>
  <c r="V604" i="10"/>
  <c r="X603" i="10"/>
  <c r="V600" i="10"/>
  <c r="X599" i="10"/>
  <c r="V596" i="10"/>
  <c r="X595" i="10"/>
  <c r="V588" i="10"/>
  <c r="U587" i="10"/>
  <c r="AA584" i="10"/>
  <c r="AA583" i="10"/>
  <c r="V580" i="10"/>
  <c r="U574" i="10"/>
  <c r="V568" i="10"/>
  <c r="AF549" i="10"/>
  <c r="AB537" i="10"/>
  <c r="Y520" i="10"/>
  <c r="AD520" i="10" s="1"/>
  <c r="AE520" i="10" s="1"/>
  <c r="AB518" i="10"/>
  <c r="AF513" i="10"/>
  <c r="AB511" i="10"/>
  <c r="X510" i="10"/>
  <c r="AA501" i="10"/>
  <c r="X501" i="10"/>
  <c r="V501" i="10"/>
  <c r="Y498" i="10"/>
  <c r="AF498" i="10"/>
  <c r="U495" i="10"/>
  <c r="V495" i="10"/>
  <c r="X495" i="10"/>
  <c r="X492" i="10"/>
  <c r="AD492" i="10" s="1"/>
  <c r="AE492" i="10" s="1"/>
  <c r="AB492" i="10"/>
  <c r="Y485" i="10"/>
  <c r="X477" i="10"/>
  <c r="V477" i="10"/>
  <c r="X472" i="10"/>
  <c r="V472" i="10"/>
  <c r="AA472" i="10"/>
  <c r="AB472" i="10"/>
  <c r="U472" i="10"/>
  <c r="AB470" i="10"/>
  <c r="V446" i="10"/>
  <c r="V441" i="10"/>
  <c r="AF437" i="10"/>
  <c r="Y437" i="10"/>
  <c r="AB462" i="10"/>
  <c r="AA457" i="10"/>
  <c r="V457" i="10"/>
  <c r="X452" i="10"/>
  <c r="AD452" i="10" s="1"/>
  <c r="AE452" i="10" s="1"/>
  <c r="AB452" i="10"/>
  <c r="AF450" i="10"/>
  <c r="AB438" i="10"/>
  <c r="U437" i="10"/>
  <c r="V435" i="10"/>
  <c r="AB429" i="10"/>
  <c r="U428" i="10"/>
  <c r="AA425" i="10"/>
  <c r="X456" i="10"/>
  <c r="AD456" i="10" s="1"/>
  <c r="AE456" i="10" s="1"/>
  <c r="AB456" i="10"/>
  <c r="AA445" i="10"/>
  <c r="V445" i="10"/>
  <c r="Y499" i="10"/>
  <c r="U484" i="10"/>
  <c r="Y483" i="10"/>
  <c r="AD483" i="10" s="1"/>
  <c r="AE483" i="10" s="1"/>
  <c r="U476" i="10"/>
  <c r="U468" i="10"/>
  <c r="AA464" i="10"/>
  <c r="U462" i="10"/>
  <c r="V461" i="10"/>
  <c r="AF454" i="10"/>
  <c r="AA452" i="10"/>
  <c r="Y449" i="10"/>
  <c r="AF446" i="10"/>
  <c r="X444" i="10"/>
  <c r="AB444" i="10"/>
  <c r="V440" i="10"/>
  <c r="AB437" i="10"/>
  <c r="X433" i="10"/>
  <c r="AD433" i="10" s="1"/>
  <c r="AE433" i="10" s="1"/>
  <c r="AB428" i="10"/>
  <c r="AA427" i="10"/>
  <c r="AA437" i="10"/>
  <c r="AB486" i="10"/>
  <c r="AB474" i="10"/>
  <c r="AA456" i="10"/>
  <c r="X437" i="10"/>
  <c r="AA436" i="10"/>
  <c r="V436" i="10"/>
  <c r="X428" i="10"/>
  <c r="AD428" i="10" s="1"/>
  <c r="AE428" i="10" s="1"/>
  <c r="V456" i="10"/>
  <c r="Y441" i="10"/>
  <c r="AA435" i="10"/>
  <c r="U430" i="10"/>
  <c r="AB430" i="10"/>
  <c r="V428" i="10"/>
  <c r="X662" i="10"/>
  <c r="AD662" i="10" s="1"/>
  <c r="AE662" i="10" s="1"/>
  <c r="V662" i="10"/>
  <c r="U662" i="10"/>
  <c r="AD533" i="10"/>
  <c r="AE533" i="10" s="1"/>
  <c r="AD528" i="10"/>
  <c r="AE528" i="10" s="1"/>
  <c r="AD536" i="10"/>
  <c r="AE536" i="10" s="1"/>
  <c r="AD505" i="10"/>
  <c r="AE505" i="10" s="1"/>
  <c r="AD548" i="10"/>
  <c r="AE548" i="10" s="1"/>
  <c r="AD534" i="10"/>
  <c r="AE534" i="10" s="1"/>
  <c r="N628" i="10"/>
  <c r="N451" i="10"/>
  <c r="N545" i="10"/>
  <c r="AD500" i="10"/>
  <c r="AE500" i="10" s="1"/>
  <c r="N655" i="10"/>
  <c r="N612" i="10"/>
  <c r="N660" i="10"/>
  <c r="N632" i="10"/>
  <c r="AD496" i="10"/>
  <c r="AE496" i="10" s="1"/>
  <c r="AD427" i="10"/>
  <c r="AE427" i="10" s="1"/>
  <c r="AD464" i="10"/>
  <c r="AE464" i="10" s="1"/>
  <c r="AD529" i="10"/>
  <c r="AE529" i="10" s="1"/>
  <c r="AD436" i="10"/>
  <c r="AE436" i="10" s="1"/>
  <c r="AD429" i="10"/>
  <c r="AE429" i="10" s="1"/>
  <c r="N636" i="10"/>
  <c r="AD544" i="10"/>
  <c r="AE544" i="10" s="1"/>
  <c r="AD484" i="10"/>
  <c r="AE484" i="10" s="1"/>
  <c r="N477" i="10"/>
  <c r="AD476" i="10"/>
  <c r="AE476" i="10" s="1"/>
  <c r="N469" i="10"/>
  <c r="N487" i="10"/>
  <c r="N519" i="10"/>
  <c r="N643" i="10"/>
  <c r="N657" i="10"/>
  <c r="N640" i="10"/>
  <c r="N652" i="10"/>
  <c r="N525" i="10"/>
  <c r="N648" i="10"/>
  <c r="N570" i="10"/>
  <c r="N547" i="10"/>
  <c r="N555" i="10"/>
  <c r="N633" i="10"/>
  <c r="N616" i="10"/>
  <c r="N624" i="10"/>
  <c r="N504" i="10"/>
  <c r="N491" i="10"/>
  <c r="N620" i="10"/>
  <c r="N654" i="10"/>
  <c r="N594" i="10"/>
  <c r="O594" i="10" s="1"/>
  <c r="AB662" i="10"/>
  <c r="N583" i="10"/>
  <c r="P661" i="10"/>
  <c r="X658" i="10"/>
  <c r="AD658" i="10" s="1"/>
  <c r="AE658" i="10" s="1"/>
  <c r="AF642" i="10"/>
  <c r="L640" i="10"/>
  <c r="V633" i="10"/>
  <c r="X633" i="10"/>
  <c r="P629" i="10"/>
  <c r="E659" i="10"/>
  <c r="F659" i="10"/>
  <c r="Y657" i="10"/>
  <c r="AA656" i="10"/>
  <c r="L652" i="10"/>
  <c r="X648" i="10"/>
  <c r="AD648" i="10" s="1"/>
  <c r="AE648" i="10" s="1"/>
  <c r="K648" i="10"/>
  <c r="Y647" i="10"/>
  <c r="V645" i="10"/>
  <c r="X645" i="10"/>
  <c r="AD645" i="10" s="1"/>
  <c r="AE645" i="10" s="1"/>
  <c r="V644" i="10"/>
  <c r="F644" i="10"/>
  <c r="K643" i="10"/>
  <c r="AB642" i="10"/>
  <c r="K641" i="10"/>
  <c r="L641" i="10"/>
  <c r="E640" i="10"/>
  <c r="I639" i="10"/>
  <c r="N639" i="10" s="1"/>
  <c r="X638" i="10"/>
  <c r="AD638" i="10" s="1"/>
  <c r="AE638" i="10" s="1"/>
  <c r="V634" i="10"/>
  <c r="AB633" i="10"/>
  <c r="U630" i="10"/>
  <c r="AA629" i="10"/>
  <c r="E627" i="10"/>
  <c r="F627" i="10"/>
  <c r="H625" i="10"/>
  <c r="N625" i="10" s="1"/>
  <c r="AA624" i="10"/>
  <c r="L620" i="10"/>
  <c r="X616" i="10"/>
  <c r="AD616" i="10" s="1"/>
  <c r="AE616" i="10" s="1"/>
  <c r="K616" i="10"/>
  <c r="Y615" i="10"/>
  <c r="L615" i="10"/>
  <c r="V613" i="10"/>
  <c r="X613" i="10"/>
  <c r="AD613" i="10" s="1"/>
  <c r="AE613" i="10" s="1"/>
  <c r="V612" i="10"/>
  <c r="F612" i="10"/>
  <c r="K611" i="10"/>
  <c r="AB610" i="10"/>
  <c r="L607" i="10"/>
  <c r="L603" i="10"/>
  <c r="L599" i="10"/>
  <c r="L595" i="10"/>
  <c r="L591" i="10"/>
  <c r="L587" i="10"/>
  <c r="L583" i="10"/>
  <c r="L579" i="10"/>
  <c r="F572" i="10"/>
  <c r="H572" i="10"/>
  <c r="N572" i="10" s="1"/>
  <c r="K572" i="10"/>
  <c r="E567" i="10"/>
  <c r="H567" i="10"/>
  <c r="F567" i="10"/>
  <c r="U561" i="10"/>
  <c r="V561" i="10"/>
  <c r="X561" i="10"/>
  <c r="P560" i="10"/>
  <c r="F554" i="10"/>
  <c r="E554" i="10"/>
  <c r="H554" i="10"/>
  <c r="N554" i="10" s="1"/>
  <c r="K554" i="10"/>
  <c r="L554" i="10"/>
  <c r="F543" i="10"/>
  <c r="H543" i="10"/>
  <c r="N543" i="10" s="1"/>
  <c r="K543" i="10"/>
  <c r="L543" i="10"/>
  <c r="AF538" i="10"/>
  <c r="P528" i="10"/>
  <c r="K645" i="10"/>
  <c r="L645" i="10"/>
  <c r="V617" i="10"/>
  <c r="X617" i="10"/>
  <c r="AD617" i="10" s="1"/>
  <c r="AE617" i="10" s="1"/>
  <c r="K613" i="10"/>
  <c r="L613" i="10"/>
  <c r="AB593" i="10"/>
  <c r="H593" i="10"/>
  <c r="N593" i="10" s="1"/>
  <c r="L592" i="10"/>
  <c r="Y591" i="10"/>
  <c r="K591" i="10"/>
  <c r="AB590" i="10"/>
  <c r="AB589" i="10"/>
  <c r="H589" i="10"/>
  <c r="N589" i="10" s="1"/>
  <c r="L588" i="10"/>
  <c r="Y587" i="10"/>
  <c r="K587" i="10"/>
  <c r="AB586" i="10"/>
  <c r="AB585" i="10"/>
  <c r="H585" i="10"/>
  <c r="N585" i="10" s="1"/>
  <c r="L584" i="10"/>
  <c r="Y583" i="10"/>
  <c r="AD583" i="10" s="1"/>
  <c r="AE583" i="10" s="1"/>
  <c r="K583" i="10"/>
  <c r="AB582" i="10"/>
  <c r="AB581" i="10"/>
  <c r="H581" i="10"/>
  <c r="N581" i="10" s="1"/>
  <c r="L580" i="10"/>
  <c r="Y579" i="10"/>
  <c r="K579" i="10"/>
  <c r="AB578" i="10"/>
  <c r="AB577" i="10"/>
  <c r="H577" i="10"/>
  <c r="L576" i="10"/>
  <c r="Y575" i="10"/>
  <c r="AF573" i="10"/>
  <c r="Y573" i="10"/>
  <c r="X562" i="10"/>
  <c r="AD562" i="10" s="1"/>
  <c r="AE562" i="10" s="1"/>
  <c r="AA562" i="10"/>
  <c r="AB562" i="10"/>
  <c r="AF557" i="10"/>
  <c r="Y557" i="10"/>
  <c r="AA549" i="10"/>
  <c r="V549" i="10"/>
  <c r="X549" i="10"/>
  <c r="AD549" i="10" s="1"/>
  <c r="AE549" i="10" s="1"/>
  <c r="AB549" i="10"/>
  <c r="X532" i="10"/>
  <c r="AD532" i="10" s="1"/>
  <c r="AE532" i="10" s="1"/>
  <c r="V532" i="10"/>
  <c r="AA532" i="10"/>
  <c r="AB532" i="10"/>
  <c r="U532" i="10"/>
  <c r="V649" i="10"/>
  <c r="X649" i="10"/>
  <c r="AD649" i="10" s="1"/>
  <c r="AE649" i="10" s="1"/>
  <c r="AF653" i="10"/>
  <c r="V653" i="10"/>
  <c r="X653" i="10"/>
  <c r="AD653" i="10" s="1"/>
  <c r="AE653" i="10" s="1"/>
  <c r="P649" i="10"/>
  <c r="K649" i="10"/>
  <c r="L649" i="10"/>
  <c r="E648" i="10"/>
  <c r="I647" i="10"/>
  <c r="N647" i="10" s="1"/>
  <c r="O647" i="10" s="1"/>
  <c r="P640" i="10"/>
  <c r="U638" i="10"/>
  <c r="AF635" i="10"/>
  <c r="E635" i="10"/>
  <c r="F635" i="10"/>
  <c r="Y633" i="10"/>
  <c r="AF630" i="10"/>
  <c r="X624" i="10"/>
  <c r="AF621" i="10"/>
  <c r="V621" i="10"/>
  <c r="X621" i="10"/>
  <c r="AD621" i="10" s="1"/>
  <c r="AE621" i="10" s="1"/>
  <c r="V620" i="10"/>
  <c r="F620" i="10"/>
  <c r="P617" i="10"/>
  <c r="K617" i="10"/>
  <c r="L617" i="10"/>
  <c r="E616" i="10"/>
  <c r="I615" i="10"/>
  <c r="N615" i="10" s="1"/>
  <c r="N614" i="10"/>
  <c r="O614" i="10" s="1"/>
  <c r="V610" i="10"/>
  <c r="F609" i="10"/>
  <c r="K608" i="10"/>
  <c r="V606" i="10"/>
  <c r="F605" i="10"/>
  <c r="K604" i="10"/>
  <c r="V602" i="10"/>
  <c r="F601" i="10"/>
  <c r="K600" i="10"/>
  <c r="V598" i="10"/>
  <c r="F597" i="10"/>
  <c r="K596" i="10"/>
  <c r="V594" i="10"/>
  <c r="F593" i="10"/>
  <c r="K592" i="10"/>
  <c r="V590" i="10"/>
  <c r="F589" i="10"/>
  <c r="K588" i="10"/>
  <c r="V586" i="10"/>
  <c r="F585" i="10"/>
  <c r="K584" i="10"/>
  <c r="V582" i="10"/>
  <c r="F581" i="10"/>
  <c r="K580" i="10"/>
  <c r="V578" i="10"/>
  <c r="F577" i="10"/>
  <c r="K576" i="10"/>
  <c r="U573" i="10"/>
  <c r="V573" i="10"/>
  <c r="X573" i="10"/>
  <c r="V570" i="10"/>
  <c r="F568" i="10"/>
  <c r="H568" i="10"/>
  <c r="N568" i="10" s="1"/>
  <c r="K568" i="10"/>
  <c r="E563" i="10"/>
  <c r="F563" i="10"/>
  <c r="H563" i="10"/>
  <c r="U557" i="10"/>
  <c r="V557" i="10"/>
  <c r="X557" i="10"/>
  <c r="AF555" i="10"/>
  <c r="Y555" i="10"/>
  <c r="L552" i="10"/>
  <c r="E552" i="10"/>
  <c r="F552" i="10"/>
  <c r="H552" i="10"/>
  <c r="N552" i="10" s="1"/>
  <c r="K552" i="10"/>
  <c r="AF547" i="10"/>
  <c r="Y547" i="10"/>
  <c r="AF545" i="10"/>
  <c r="N534" i="10"/>
  <c r="AB640" i="10"/>
  <c r="E639" i="10"/>
  <c r="F639" i="10"/>
  <c r="V625" i="10"/>
  <c r="X625" i="10"/>
  <c r="AD625" i="10" s="1"/>
  <c r="AE625" i="10" s="1"/>
  <c r="K621" i="10"/>
  <c r="L621" i="10"/>
  <c r="E620" i="10"/>
  <c r="I619" i="10"/>
  <c r="N619" i="10" s="1"/>
  <c r="U610" i="10"/>
  <c r="Y609" i="10"/>
  <c r="Y605" i="10"/>
  <c r="Y601" i="10"/>
  <c r="Y597" i="10"/>
  <c r="Y593" i="10"/>
  <c r="Y589" i="10"/>
  <c r="X574" i="10"/>
  <c r="AD574" i="10" s="1"/>
  <c r="AE574" i="10" s="1"/>
  <c r="AA574" i="10"/>
  <c r="AB574" i="10"/>
  <c r="AF569" i="10"/>
  <c r="Y569" i="10"/>
  <c r="X558" i="10"/>
  <c r="AD558" i="10" s="1"/>
  <c r="AE558" i="10" s="1"/>
  <c r="AB558" i="10"/>
  <c r="AA558" i="10"/>
  <c r="U547" i="10"/>
  <c r="V547" i="10"/>
  <c r="X547" i="10"/>
  <c r="AA547" i="10"/>
  <c r="AB547" i="10"/>
  <c r="U543" i="10"/>
  <c r="V543" i="10"/>
  <c r="X543" i="10"/>
  <c r="AA543" i="10"/>
  <c r="E631" i="10"/>
  <c r="F631" i="10"/>
  <c r="K653" i="10"/>
  <c r="L653" i="10"/>
  <c r="AB649" i="10"/>
  <c r="P648" i="10"/>
  <c r="L636" i="10"/>
  <c r="L631" i="10"/>
  <c r="V629" i="10"/>
  <c r="X629" i="10"/>
  <c r="AB626" i="10"/>
  <c r="K625" i="10"/>
  <c r="L625" i="10"/>
  <c r="E575" i="10"/>
  <c r="F575" i="10"/>
  <c r="H575" i="10"/>
  <c r="N575" i="10" s="1"/>
  <c r="O575" i="10" s="1"/>
  <c r="U569" i="10"/>
  <c r="V569" i="10"/>
  <c r="X569" i="10"/>
  <c r="P568" i="10"/>
  <c r="L567" i="10"/>
  <c r="F564" i="10"/>
  <c r="H564" i="10"/>
  <c r="N564" i="10" s="1"/>
  <c r="K564" i="10"/>
  <c r="E559" i="10"/>
  <c r="H559" i="10"/>
  <c r="N559" i="10" s="1"/>
  <c r="O559" i="10" s="1"/>
  <c r="F559" i="10"/>
  <c r="P554" i="10"/>
  <c r="F550" i="10"/>
  <c r="E550" i="10"/>
  <c r="H550" i="10"/>
  <c r="K550" i="10"/>
  <c r="P547" i="10"/>
  <c r="AD546" i="10"/>
  <c r="AE546" i="10" s="1"/>
  <c r="P543" i="10"/>
  <c r="K657" i="10"/>
  <c r="L657" i="10"/>
  <c r="AF643" i="10"/>
  <c r="AF638" i="10"/>
  <c r="E611" i="10"/>
  <c r="F611" i="10"/>
  <c r="K661" i="10"/>
  <c r="L661" i="10"/>
  <c r="AB653" i="10"/>
  <c r="P652" i="10"/>
  <c r="AA649" i="10"/>
  <c r="AB648" i="10"/>
  <c r="AF610" i="10"/>
  <c r="F608" i="10"/>
  <c r="H608" i="10"/>
  <c r="N608" i="10" s="1"/>
  <c r="U605" i="10"/>
  <c r="V605" i="10"/>
  <c r="X605" i="10"/>
  <c r="K605" i="10"/>
  <c r="L605" i="10"/>
  <c r="E603" i="10"/>
  <c r="F603" i="10"/>
  <c r="K601" i="10"/>
  <c r="L601" i="10"/>
  <c r="X594" i="10"/>
  <c r="AD594" i="10" s="1"/>
  <c r="AE594" i="10" s="1"/>
  <c r="AA594" i="10"/>
  <c r="F592" i="10"/>
  <c r="H592" i="10"/>
  <c r="N592" i="10" s="1"/>
  <c r="E591" i="10"/>
  <c r="F591" i="10"/>
  <c r="K589" i="10"/>
  <c r="L589" i="10"/>
  <c r="X586" i="10"/>
  <c r="AD586" i="10" s="1"/>
  <c r="AE586" i="10" s="1"/>
  <c r="AA586" i="10"/>
  <c r="U585" i="10"/>
  <c r="V585" i="10"/>
  <c r="X585" i="10"/>
  <c r="E583" i="10"/>
  <c r="F583" i="10"/>
  <c r="X582" i="10"/>
  <c r="AD582" i="10" s="1"/>
  <c r="AE582" i="10" s="1"/>
  <c r="AA582" i="10"/>
  <c r="U581" i="10"/>
  <c r="V581" i="10"/>
  <c r="X581" i="10"/>
  <c r="AD581" i="10" s="1"/>
  <c r="AE581" i="10" s="1"/>
  <c r="K581" i="10"/>
  <c r="L581" i="10"/>
  <c r="F580" i="10"/>
  <c r="H580" i="10"/>
  <c r="N580" i="10" s="1"/>
  <c r="E579" i="10"/>
  <c r="F579" i="10"/>
  <c r="X578" i="10"/>
  <c r="AA578" i="10"/>
  <c r="U577" i="10"/>
  <c r="V577" i="10"/>
  <c r="X577" i="10"/>
  <c r="K577" i="10"/>
  <c r="L577" i="10"/>
  <c r="F576" i="10"/>
  <c r="H576" i="10"/>
  <c r="N576" i="10" s="1"/>
  <c r="X570" i="10"/>
  <c r="AD570" i="10" s="1"/>
  <c r="AE570" i="10" s="1"/>
  <c r="AA570" i="10"/>
  <c r="AB570" i="10"/>
  <c r="AF565" i="10"/>
  <c r="Y565" i="10"/>
  <c r="AF551" i="10"/>
  <c r="Y551" i="10"/>
  <c r="F541" i="10"/>
  <c r="H541" i="10"/>
  <c r="N541" i="10" s="1"/>
  <c r="K541" i="10"/>
  <c r="L541" i="10"/>
  <c r="E537" i="10"/>
  <c r="F537" i="10"/>
  <c r="H537" i="10"/>
  <c r="N537" i="10" s="1"/>
  <c r="K537" i="10"/>
  <c r="V657" i="10"/>
  <c r="X657" i="10"/>
  <c r="V661" i="10"/>
  <c r="X661" i="10"/>
  <c r="P657" i="10"/>
  <c r="AB617" i="10"/>
  <c r="X626" i="10"/>
  <c r="AD626" i="10" s="1"/>
  <c r="AE626" i="10" s="1"/>
  <c r="P620" i="10"/>
  <c r="AA617" i="10"/>
  <c r="E615" i="10"/>
  <c r="F615" i="10"/>
  <c r="K609" i="10"/>
  <c r="L609" i="10"/>
  <c r="X606" i="10"/>
  <c r="AD606" i="10" s="1"/>
  <c r="AE606" i="10" s="1"/>
  <c r="AA606" i="10"/>
  <c r="F604" i="10"/>
  <c r="H604" i="10"/>
  <c r="N604" i="10" s="1"/>
  <c r="X602" i="10"/>
  <c r="AD602" i="10" s="1"/>
  <c r="AE602" i="10" s="1"/>
  <c r="AA602" i="10"/>
  <c r="F600" i="10"/>
  <c r="H600" i="10"/>
  <c r="N600" i="10" s="1"/>
  <c r="K597" i="10"/>
  <c r="L597" i="10"/>
  <c r="U593" i="10"/>
  <c r="V593" i="10"/>
  <c r="X593" i="10"/>
  <c r="X590" i="10"/>
  <c r="AD590" i="10" s="1"/>
  <c r="AE590" i="10" s="1"/>
  <c r="AA590" i="10"/>
  <c r="K585" i="10"/>
  <c r="L585" i="10"/>
  <c r="AA653" i="10"/>
  <c r="AB652" i="10"/>
  <c r="E651" i="10"/>
  <c r="F651" i="10"/>
  <c r="U645" i="10"/>
  <c r="F645" i="10"/>
  <c r="V637" i="10"/>
  <c r="X637" i="10"/>
  <c r="K635" i="10"/>
  <c r="AB634" i="10"/>
  <c r="H627" i="10"/>
  <c r="N627" i="10" s="1"/>
  <c r="V626" i="10"/>
  <c r="AB625" i="10"/>
  <c r="P624" i="10"/>
  <c r="U622" i="10"/>
  <c r="AA621" i="10"/>
  <c r="AB620" i="10"/>
  <c r="E619" i="10"/>
  <c r="F619" i="10"/>
  <c r="H617" i="10"/>
  <c r="N617" i="10" s="1"/>
  <c r="AA616" i="10"/>
  <c r="AF614" i="10"/>
  <c r="U613" i="10"/>
  <c r="F613" i="10"/>
  <c r="L612" i="10"/>
  <c r="P609" i="10"/>
  <c r="P608" i="10"/>
  <c r="AF606" i="10"/>
  <c r="P605" i="10"/>
  <c r="P604" i="10"/>
  <c r="AF602" i="10"/>
  <c r="P601" i="10"/>
  <c r="P600" i="10"/>
  <c r="AF598" i="10"/>
  <c r="P597" i="10"/>
  <c r="P596" i="10"/>
  <c r="AF594" i="10"/>
  <c r="P593" i="10"/>
  <c r="P592" i="10"/>
  <c r="AF590" i="10"/>
  <c r="P589" i="10"/>
  <c r="P588" i="10"/>
  <c r="AF586" i="10"/>
  <c r="P585" i="10"/>
  <c r="P584" i="10"/>
  <c r="E572" i="10"/>
  <c r="E571" i="10"/>
  <c r="F571" i="10"/>
  <c r="H571" i="10"/>
  <c r="U565" i="10"/>
  <c r="V565" i="10"/>
  <c r="X565" i="10"/>
  <c r="P564" i="10"/>
  <c r="L563" i="10"/>
  <c r="V562" i="10"/>
  <c r="F560" i="10"/>
  <c r="H560" i="10"/>
  <c r="N560" i="10" s="1"/>
  <c r="K560" i="10"/>
  <c r="P552" i="10"/>
  <c r="U551" i="10"/>
  <c r="X551" i="10"/>
  <c r="AA551" i="10"/>
  <c r="AB551" i="10"/>
  <c r="AA545" i="10"/>
  <c r="U545" i="10"/>
  <c r="V545" i="10"/>
  <c r="X545" i="10"/>
  <c r="AD545" i="10" s="1"/>
  <c r="AE545" i="10" s="1"/>
  <c r="AB545" i="10"/>
  <c r="AF536" i="10"/>
  <c r="AB658" i="10"/>
  <c r="E643" i="10"/>
  <c r="F643" i="10"/>
  <c r="AA640" i="10"/>
  <c r="E647" i="10"/>
  <c r="F647" i="10"/>
  <c r="AA644" i="10"/>
  <c r="K636" i="10"/>
  <c r="L635" i="10"/>
  <c r="K631" i="10"/>
  <c r="K629" i="10"/>
  <c r="L629" i="10"/>
  <c r="H613" i="10"/>
  <c r="N613" i="10" s="1"/>
  <c r="U609" i="10"/>
  <c r="V609" i="10"/>
  <c r="X609" i="10"/>
  <c r="E607" i="10"/>
  <c r="F607" i="10"/>
  <c r="U601" i="10"/>
  <c r="V601" i="10"/>
  <c r="X601" i="10"/>
  <c r="E599" i="10"/>
  <c r="F599" i="10"/>
  <c r="X598" i="10"/>
  <c r="AD598" i="10" s="1"/>
  <c r="AE598" i="10" s="1"/>
  <c r="AA598" i="10"/>
  <c r="U597" i="10"/>
  <c r="V597" i="10"/>
  <c r="X597" i="10"/>
  <c r="F596" i="10"/>
  <c r="H596" i="10"/>
  <c r="N596" i="10" s="1"/>
  <c r="E595" i="10"/>
  <c r="F595" i="10"/>
  <c r="K593" i="10"/>
  <c r="L593" i="10"/>
  <c r="U589" i="10"/>
  <c r="V589" i="10"/>
  <c r="X589" i="10"/>
  <c r="F588" i="10"/>
  <c r="H588" i="10"/>
  <c r="N588" i="10" s="1"/>
  <c r="E587" i="10"/>
  <c r="F587" i="10"/>
  <c r="F584" i="10"/>
  <c r="H584" i="10"/>
  <c r="N584" i="10" s="1"/>
  <c r="H659" i="10"/>
  <c r="N659" i="10" s="1"/>
  <c r="V658" i="10"/>
  <c r="AB657" i="10"/>
  <c r="P656" i="10"/>
  <c r="U654" i="10"/>
  <c r="H649" i="10"/>
  <c r="N649" i="10" s="1"/>
  <c r="AA648" i="10"/>
  <c r="AF646" i="10"/>
  <c r="L644" i="10"/>
  <c r="E641" i="10"/>
  <c r="X640" i="10"/>
  <c r="AD640" i="10" s="1"/>
  <c r="AE640" i="10" s="1"/>
  <c r="K640" i="10"/>
  <c r="L639" i="10"/>
  <c r="V636" i="10"/>
  <c r="F636" i="10"/>
  <c r="K633" i="10"/>
  <c r="L633" i="10"/>
  <c r="E632" i="10"/>
  <c r="I631" i="10"/>
  <c r="X630" i="10"/>
  <c r="AD630" i="10" s="1"/>
  <c r="AE630" i="10" s="1"/>
  <c r="AB661" i="10"/>
  <c r="P660" i="10"/>
  <c r="U658" i="10"/>
  <c r="AA657" i="10"/>
  <c r="AB656" i="10"/>
  <c r="E655" i="10"/>
  <c r="F655" i="10"/>
  <c r="H653" i="10"/>
  <c r="N653" i="10" s="1"/>
  <c r="AA652" i="10"/>
  <c r="AF650" i="10"/>
  <c r="U649" i="10"/>
  <c r="F649" i="10"/>
  <c r="L648" i="10"/>
  <c r="E645" i="10"/>
  <c r="X644" i="10"/>
  <c r="K644" i="10"/>
  <c r="L643" i="10"/>
  <c r="V641" i="10"/>
  <c r="X641" i="10"/>
  <c r="V640" i="10"/>
  <c r="F640" i="10"/>
  <c r="K639" i="10"/>
  <c r="AB638" i="10"/>
  <c r="K637" i="10"/>
  <c r="L637" i="10"/>
  <c r="E636" i="10"/>
  <c r="I635" i="10"/>
  <c r="N635" i="10" s="1"/>
  <c r="X634" i="10"/>
  <c r="AD634" i="10" s="1"/>
  <c r="AE634" i="10" s="1"/>
  <c r="N634" i="10"/>
  <c r="H631" i="10"/>
  <c r="V630" i="10"/>
  <c r="AB629" i="10"/>
  <c r="P628" i="10"/>
  <c r="U626" i="10"/>
  <c r="AA625" i="10"/>
  <c r="AB624" i="10"/>
  <c r="E623" i="10"/>
  <c r="F623" i="10"/>
  <c r="H621" i="10"/>
  <c r="N621" i="10" s="1"/>
  <c r="AA620" i="10"/>
  <c r="AF618" i="10"/>
  <c r="U617" i="10"/>
  <c r="F617" i="10"/>
  <c r="L616" i="10"/>
  <c r="E613" i="10"/>
  <c r="X612" i="10"/>
  <c r="AD612" i="10" s="1"/>
  <c r="AE612" i="10" s="1"/>
  <c r="K612" i="10"/>
  <c r="L611" i="10"/>
  <c r="N574" i="10"/>
  <c r="AB573" i="10"/>
  <c r="L568" i="10"/>
  <c r="X566" i="10"/>
  <c r="AD566" i="10" s="1"/>
  <c r="AE566" i="10" s="1"/>
  <c r="AB566" i="10"/>
  <c r="AA566" i="10"/>
  <c r="K563" i="10"/>
  <c r="U562" i="10"/>
  <c r="AF561" i="10"/>
  <c r="Y561" i="10"/>
  <c r="AB557" i="10"/>
  <c r="F556" i="10"/>
  <c r="H556" i="10"/>
  <c r="N556" i="10" s="1"/>
  <c r="K556" i="10"/>
  <c r="L556" i="10"/>
  <c r="U549" i="10"/>
  <c r="L548" i="10"/>
  <c r="E548" i="10"/>
  <c r="F548" i="10"/>
  <c r="H548" i="10"/>
  <c r="N548" i="10" s="1"/>
  <c r="AA541" i="10"/>
  <c r="U541" i="10"/>
  <c r="V541" i="10"/>
  <c r="X541" i="10"/>
  <c r="AD541" i="10" s="1"/>
  <c r="AE541" i="10" s="1"/>
  <c r="E539" i="10"/>
  <c r="F539" i="10"/>
  <c r="H539" i="10"/>
  <c r="N539" i="10" s="1"/>
  <c r="K539" i="10"/>
  <c r="L539" i="10"/>
  <c r="E535" i="10"/>
  <c r="F535" i="10"/>
  <c r="H535" i="10"/>
  <c r="N535" i="10" s="1"/>
  <c r="K535" i="10"/>
  <c r="P530" i="10"/>
  <c r="N515" i="10"/>
  <c r="E526" i="10"/>
  <c r="E524" i="10"/>
  <c r="V519" i="10"/>
  <c r="U517" i="10"/>
  <c r="E511" i="10"/>
  <c r="E509" i="10"/>
  <c r="U500" i="10"/>
  <c r="E494" i="10"/>
  <c r="E492" i="10"/>
  <c r="F490" i="10"/>
  <c r="L490" i="10"/>
  <c r="AA489" i="10"/>
  <c r="U489" i="10"/>
  <c r="E489" i="10"/>
  <c r="F486" i="10"/>
  <c r="L486" i="10"/>
  <c r="AA485" i="10"/>
  <c r="U485" i="10"/>
  <c r="E485" i="10"/>
  <c r="F482" i="10"/>
  <c r="L482" i="10"/>
  <c r="AA481" i="10"/>
  <c r="U481" i="10"/>
  <c r="E481" i="10"/>
  <c r="Y479" i="10"/>
  <c r="AD479" i="10" s="1"/>
  <c r="AE479" i="10" s="1"/>
  <c r="Y475" i="10"/>
  <c r="AD475" i="10" s="1"/>
  <c r="AE475" i="10" s="1"/>
  <c r="Y471" i="10"/>
  <c r="AD471" i="10" s="1"/>
  <c r="AE471" i="10" s="1"/>
  <c r="K467" i="10"/>
  <c r="L467" i="10"/>
  <c r="F466" i="10"/>
  <c r="H466" i="10"/>
  <c r="N466" i="10" s="1"/>
  <c r="L466" i="10"/>
  <c r="E461" i="10"/>
  <c r="F461" i="10"/>
  <c r="AF439" i="10"/>
  <c r="Y439" i="10"/>
  <c r="AA432" i="10"/>
  <c r="U432" i="10"/>
  <c r="V432" i="10"/>
  <c r="X432" i="10"/>
  <c r="L501" i="10"/>
  <c r="U467" i="10"/>
  <c r="V467" i="10"/>
  <c r="X467" i="10"/>
  <c r="AA467" i="10"/>
  <c r="Y463" i="10"/>
  <c r="U451" i="10"/>
  <c r="V451" i="10"/>
  <c r="X451" i="10"/>
  <c r="AA451" i="10"/>
  <c r="U439" i="10"/>
  <c r="V439" i="10"/>
  <c r="X439" i="10"/>
  <c r="AA439" i="10"/>
  <c r="K463" i="10"/>
  <c r="L463" i="10"/>
  <c r="F462" i="10"/>
  <c r="H462" i="10"/>
  <c r="N462" i="10" s="1"/>
  <c r="L462" i="10"/>
  <c r="E457" i="10"/>
  <c r="F457" i="10"/>
  <c r="AB528" i="10"/>
  <c r="AD526" i="10"/>
  <c r="AE526" i="10" s="1"/>
  <c r="AA524" i="10"/>
  <c r="L522" i="10"/>
  <c r="K520" i="10"/>
  <c r="K518" i="10"/>
  <c r="AB515" i="10"/>
  <c r="AB513" i="10"/>
  <c r="AA511" i="10"/>
  <c r="L509" i="10"/>
  <c r="L507" i="10"/>
  <c r="K505" i="10"/>
  <c r="K503" i="10"/>
  <c r="AB496" i="10"/>
  <c r="AA492" i="10"/>
  <c r="K490" i="10"/>
  <c r="AB489" i="10"/>
  <c r="L489" i="10"/>
  <c r="AF488" i="10"/>
  <c r="K486" i="10"/>
  <c r="AB485" i="10"/>
  <c r="L485" i="10"/>
  <c r="AF484" i="10"/>
  <c r="K482" i="10"/>
  <c r="AB481" i="10"/>
  <c r="L481" i="10"/>
  <c r="AF480" i="10"/>
  <c r="U479" i="10"/>
  <c r="V479" i="10"/>
  <c r="AA479" i="10"/>
  <c r="AA477" i="10"/>
  <c r="AB477" i="10"/>
  <c r="U477" i="10"/>
  <c r="U475" i="10"/>
  <c r="V475" i="10"/>
  <c r="AA475" i="10"/>
  <c r="AA473" i="10"/>
  <c r="AB473" i="10"/>
  <c r="U473" i="10"/>
  <c r="AD472" i="10"/>
  <c r="AE472" i="10" s="1"/>
  <c r="U471" i="10"/>
  <c r="V471" i="10"/>
  <c r="AA471" i="10"/>
  <c r="AA469" i="10"/>
  <c r="AB469" i="10"/>
  <c r="U469" i="10"/>
  <c r="AD468" i="10"/>
  <c r="AE468" i="10" s="1"/>
  <c r="U463" i="10"/>
  <c r="V463" i="10"/>
  <c r="X463" i="10"/>
  <c r="AA463" i="10"/>
  <c r="L461" i="10"/>
  <c r="Y459" i="10"/>
  <c r="AF456" i="10"/>
  <c r="AF443" i="10"/>
  <c r="Y443" i="10"/>
  <c r="H533" i="10"/>
  <c r="N533" i="10" s="1"/>
  <c r="AA528" i="10"/>
  <c r="L526" i="10"/>
  <c r="K524" i="10"/>
  <c r="K522" i="10"/>
  <c r="AB519" i="10"/>
  <c r="AB517" i="10"/>
  <c r="H516" i="10"/>
  <c r="AA515" i="10"/>
  <c r="L511" i="10"/>
  <c r="X509" i="10"/>
  <c r="K509" i="10"/>
  <c r="K507" i="10"/>
  <c r="H503" i="10"/>
  <c r="N503" i="10" s="1"/>
  <c r="H501" i="10"/>
  <c r="AB500" i="10"/>
  <c r="AA496" i="10"/>
  <c r="L494" i="10"/>
  <c r="K492" i="10"/>
  <c r="K489" i="10"/>
  <c r="L488" i="10"/>
  <c r="F488" i="10"/>
  <c r="U487" i="10"/>
  <c r="AA487" i="10"/>
  <c r="K485" i="10"/>
  <c r="L484" i="10"/>
  <c r="F484" i="10"/>
  <c r="U483" i="10"/>
  <c r="AA483" i="10"/>
  <c r="K481" i="10"/>
  <c r="F478" i="10"/>
  <c r="H478" i="10"/>
  <c r="L478" i="10"/>
  <c r="F474" i="10"/>
  <c r="H474" i="10"/>
  <c r="L474" i="10"/>
  <c r="F470" i="10"/>
  <c r="H470" i="10"/>
  <c r="L470" i="10"/>
  <c r="H467" i="10"/>
  <c r="N467" i="10" s="1"/>
  <c r="P462" i="10"/>
  <c r="K461" i="10"/>
  <c r="K459" i="10"/>
  <c r="L459" i="10"/>
  <c r="F458" i="10"/>
  <c r="H458" i="10"/>
  <c r="N458" i="10" s="1"/>
  <c r="L458" i="10"/>
  <c r="E453" i="10"/>
  <c r="F453" i="10"/>
  <c r="AF448" i="10"/>
  <c r="U443" i="10"/>
  <c r="V443" i="10"/>
  <c r="X443" i="10"/>
  <c r="AA443" i="10"/>
  <c r="AD440" i="10"/>
  <c r="AE440" i="10" s="1"/>
  <c r="X423" i="10"/>
  <c r="V423" i="10"/>
  <c r="AA423" i="10"/>
  <c r="AB423" i="10"/>
  <c r="P555" i="10"/>
  <c r="L573" i="10"/>
  <c r="L569" i="10"/>
  <c r="L565" i="10"/>
  <c r="L561" i="10"/>
  <c r="L557" i="10"/>
  <c r="AB555" i="10"/>
  <c r="AB553" i="10"/>
  <c r="U552" i="10"/>
  <c r="L549" i="10"/>
  <c r="L547" i="10"/>
  <c r="E546" i="10"/>
  <c r="K545" i="10"/>
  <c r="E544" i="10"/>
  <c r="V539" i="10"/>
  <c r="U537" i="10"/>
  <c r="AB536" i="10"/>
  <c r="F533" i="10"/>
  <c r="L530" i="10"/>
  <c r="K528" i="10"/>
  <c r="K526" i="10"/>
  <c r="V524" i="10"/>
  <c r="AB523" i="10"/>
  <c r="AB521" i="10"/>
  <c r="U520" i="10"/>
  <c r="H520" i="10"/>
  <c r="AA519" i="10"/>
  <c r="H518" i="10"/>
  <c r="L517" i="10"/>
  <c r="F516" i="10"/>
  <c r="Y515" i="10"/>
  <c r="L515" i="10"/>
  <c r="E514" i="10"/>
  <c r="X513" i="10"/>
  <c r="AD513" i="10" s="1"/>
  <c r="AE513" i="10" s="1"/>
  <c r="K513" i="10"/>
  <c r="E512" i="10"/>
  <c r="X511" i="10"/>
  <c r="K511" i="10"/>
  <c r="V509" i="10"/>
  <c r="V507" i="10"/>
  <c r="H507" i="10"/>
  <c r="N507" i="10" s="1"/>
  <c r="U505" i="10"/>
  <c r="H505" i="10"/>
  <c r="AB504" i="10"/>
  <c r="F503" i="10"/>
  <c r="F501" i="10"/>
  <c r="AA500" i="10"/>
  <c r="L498" i="10"/>
  <c r="K496" i="10"/>
  <c r="K494" i="10"/>
  <c r="V492" i="10"/>
  <c r="AB491" i="10"/>
  <c r="H490" i="10"/>
  <c r="N490" i="10" s="1"/>
  <c r="X489" i="10"/>
  <c r="H486" i="10"/>
  <c r="X485" i="10"/>
  <c r="H482" i="10"/>
  <c r="N482" i="10" s="1"/>
  <c r="X481" i="10"/>
  <c r="AF476" i="10"/>
  <c r="AF472" i="10"/>
  <c r="AF468" i="10"/>
  <c r="F467" i="10"/>
  <c r="K466" i="10"/>
  <c r="U459" i="10"/>
  <c r="V459" i="10"/>
  <c r="X459" i="10"/>
  <c r="AA459" i="10"/>
  <c r="L457" i="10"/>
  <c r="AF452" i="10"/>
  <c r="AB432" i="10"/>
  <c r="AA555" i="10"/>
  <c r="L551" i="10"/>
  <c r="K547" i="10"/>
  <c r="AB540" i="10"/>
  <c r="AA536" i="10"/>
  <c r="L534" i="10"/>
  <c r="K532" i="10"/>
  <c r="K530" i="10"/>
  <c r="V528" i="10"/>
  <c r="AB527" i="10"/>
  <c r="AB525" i="10"/>
  <c r="U524" i="10"/>
  <c r="H524" i="10"/>
  <c r="N524" i="10" s="1"/>
  <c r="AA523" i="10"/>
  <c r="H522" i="10"/>
  <c r="N522" i="10" s="1"/>
  <c r="F520" i="10"/>
  <c r="Y519" i="10"/>
  <c r="L519" i="10"/>
  <c r="E518" i="10"/>
  <c r="X517" i="10"/>
  <c r="E516" i="10"/>
  <c r="X515" i="10"/>
  <c r="K515" i="10"/>
  <c r="V513" i="10"/>
  <c r="V511" i="10"/>
  <c r="H511" i="10"/>
  <c r="N511" i="10" s="1"/>
  <c r="U509" i="10"/>
  <c r="H509" i="10"/>
  <c r="AB508" i="10"/>
  <c r="F507" i="10"/>
  <c r="F505" i="10"/>
  <c r="AA504" i="10"/>
  <c r="L502" i="10"/>
  <c r="K500" i="10"/>
  <c r="K498" i="10"/>
  <c r="V496" i="10"/>
  <c r="AB495" i="10"/>
  <c r="AB493" i="10"/>
  <c r="U492" i="10"/>
  <c r="H492" i="10"/>
  <c r="N492" i="10" s="1"/>
  <c r="AA491" i="10"/>
  <c r="E490" i="10"/>
  <c r="V489" i="10"/>
  <c r="H489" i="10"/>
  <c r="N489" i="10" s="1"/>
  <c r="E486" i="10"/>
  <c r="V485" i="10"/>
  <c r="H485" i="10"/>
  <c r="N485" i="10" s="1"/>
  <c r="E482" i="10"/>
  <c r="V481" i="10"/>
  <c r="H481" i="10"/>
  <c r="N481" i="10" s="1"/>
  <c r="L479" i="10"/>
  <c r="L477" i="10"/>
  <c r="L475" i="10"/>
  <c r="L473" i="10"/>
  <c r="L471" i="10"/>
  <c r="L469" i="10"/>
  <c r="AB467" i="10"/>
  <c r="E467" i="10"/>
  <c r="E466" i="10"/>
  <c r="E465" i="10"/>
  <c r="F465" i="10"/>
  <c r="H463" i="10"/>
  <c r="N463" i="10" s="1"/>
  <c r="H461" i="10"/>
  <c r="P458" i="10"/>
  <c r="Y457" i="10"/>
  <c r="AD457" i="10" s="1"/>
  <c r="AE457" i="10" s="1"/>
  <c r="K457" i="10"/>
  <c r="K455" i="10"/>
  <c r="L455" i="10"/>
  <c r="F454" i="10"/>
  <c r="H454" i="10"/>
  <c r="N454" i="10" s="1"/>
  <c r="L454" i="10"/>
  <c r="AB451" i="10"/>
  <c r="AF447" i="10"/>
  <c r="Y447" i="10"/>
  <c r="AF440" i="10"/>
  <c r="X553" i="10"/>
  <c r="AD553" i="10" s="1"/>
  <c r="AE553" i="10" s="1"/>
  <c r="AA540" i="10"/>
  <c r="K534" i="10"/>
  <c r="U528" i="10"/>
  <c r="H528" i="10"/>
  <c r="N528" i="10" s="1"/>
  <c r="AA527" i="10"/>
  <c r="H526" i="10"/>
  <c r="N526" i="10" s="1"/>
  <c r="F524" i="10"/>
  <c r="Y523" i="10"/>
  <c r="AD523" i="10" s="1"/>
  <c r="AE523" i="10" s="1"/>
  <c r="E522" i="10"/>
  <c r="X521" i="10"/>
  <c r="AD521" i="10" s="1"/>
  <c r="AE521" i="10" s="1"/>
  <c r="E520" i="10"/>
  <c r="X519" i="10"/>
  <c r="V517" i="10"/>
  <c r="V515" i="10"/>
  <c r="U513" i="10"/>
  <c r="AA508" i="10"/>
  <c r="K502" i="10"/>
  <c r="V500" i="10"/>
  <c r="U496" i="10"/>
  <c r="H496" i="10"/>
  <c r="N496" i="10" s="1"/>
  <c r="AA495" i="10"/>
  <c r="H494" i="10"/>
  <c r="N494" i="10" s="1"/>
  <c r="F492" i="10"/>
  <c r="Y491" i="10"/>
  <c r="K488" i="10"/>
  <c r="AB487" i="10"/>
  <c r="K484" i="10"/>
  <c r="AB483" i="10"/>
  <c r="AB479" i="10"/>
  <c r="H479" i="10"/>
  <c r="N479" i="10" s="1"/>
  <c r="Y477" i="10"/>
  <c r="K477" i="10"/>
  <c r="AB475" i="10"/>
  <c r="H475" i="10"/>
  <c r="N475" i="10" s="1"/>
  <c r="Y473" i="10"/>
  <c r="AD473" i="10" s="1"/>
  <c r="AE473" i="10" s="1"/>
  <c r="K473" i="10"/>
  <c r="AB471" i="10"/>
  <c r="H471" i="10"/>
  <c r="N471" i="10" s="1"/>
  <c r="Y469" i="10"/>
  <c r="K469" i="10"/>
  <c r="N468" i="10"/>
  <c r="Y467" i="10"/>
  <c r="AF464" i="10"/>
  <c r="F463" i="10"/>
  <c r="K462" i="10"/>
  <c r="U455" i="10"/>
  <c r="V455" i="10"/>
  <c r="X455" i="10"/>
  <c r="AA455" i="10"/>
  <c r="L453" i="10"/>
  <c r="Y451" i="10"/>
  <c r="U447" i="10"/>
  <c r="V447" i="10"/>
  <c r="X447" i="10"/>
  <c r="AA447" i="10"/>
  <c r="AB439" i="10"/>
  <c r="U434" i="10"/>
  <c r="V434" i="10"/>
  <c r="X434" i="10"/>
  <c r="AD434" i="10" s="1"/>
  <c r="AE434" i="10" s="1"/>
  <c r="AA434" i="10"/>
  <c r="AF427" i="10"/>
  <c r="AD424" i="10"/>
  <c r="AE424" i="10" s="1"/>
  <c r="V431" i="10"/>
  <c r="U427" i="10"/>
  <c r="AA426" i="10"/>
  <c r="Y422" i="10"/>
  <c r="AD422" i="10" s="1"/>
  <c r="AE422" i="10" s="1"/>
  <c r="F480" i="10"/>
  <c r="F476" i="10"/>
  <c r="F472" i="10"/>
  <c r="F468" i="10"/>
  <c r="U465" i="10"/>
  <c r="F464" i="10"/>
  <c r="U461" i="10"/>
  <c r="F460" i="10"/>
  <c r="U457" i="10"/>
  <c r="F456" i="10"/>
  <c r="U453" i="10"/>
  <c r="F452" i="10"/>
  <c r="U449" i="10"/>
  <c r="U445" i="10"/>
  <c r="U441" i="10"/>
  <c r="U435" i="10"/>
  <c r="Y430" i="10"/>
  <c r="AD430" i="10" s="1"/>
  <c r="AE430" i="10" s="1"/>
  <c r="X426" i="10"/>
  <c r="V424" i="10"/>
  <c r="U422" i="10"/>
  <c r="V422" i="10"/>
  <c r="X420" i="10"/>
  <c r="L451" i="10"/>
  <c r="V420" i="10"/>
  <c r="AB465" i="10"/>
  <c r="AB461" i="10"/>
  <c r="AB457" i="10"/>
  <c r="AB453" i="10"/>
  <c r="AB449" i="10"/>
  <c r="AB445" i="10"/>
  <c r="AB441" i="10"/>
  <c r="AB431" i="10"/>
  <c r="U436" i="10"/>
  <c r="AB435" i="10"/>
  <c r="AA431" i="10"/>
  <c r="AB422" i="10"/>
  <c r="AA420" i="10"/>
  <c r="AB420" i="10"/>
  <c r="AD469" i="10" l="1"/>
  <c r="AE469" i="10" s="1"/>
  <c r="AD449" i="10"/>
  <c r="AE449" i="10" s="1"/>
  <c r="AD462" i="10"/>
  <c r="AE462" i="10" s="1"/>
  <c r="AD455" i="10"/>
  <c r="AE455" i="10" s="1"/>
  <c r="N474" i="10"/>
  <c r="AD489" i="10"/>
  <c r="AE489" i="10" s="1"/>
  <c r="N518" i="10"/>
  <c r="O518" i="10" s="1"/>
  <c r="AD575" i="10"/>
  <c r="AE575" i="10" s="1"/>
  <c r="N531" i="10"/>
  <c r="O531" i="10" s="1"/>
  <c r="N498" i="10"/>
  <c r="O498" i="10" s="1"/>
  <c r="AD641" i="10"/>
  <c r="AE641" i="10" s="1"/>
  <c r="AD426" i="10"/>
  <c r="AE426" i="10" s="1"/>
  <c r="N497" i="10"/>
  <c r="O497" i="10" s="1"/>
  <c r="AD577" i="10"/>
  <c r="AE577" i="10" s="1"/>
  <c r="AD555" i="10"/>
  <c r="AE555" i="10" s="1"/>
  <c r="AD461" i="10"/>
  <c r="AE461" i="10" s="1"/>
  <c r="O619" i="10"/>
  <c r="AD615" i="10"/>
  <c r="AE615" i="10" s="1"/>
  <c r="N460" i="10"/>
  <c r="O460" i="10" s="1"/>
  <c r="N582" i="10"/>
  <c r="O582" i="10" s="1"/>
  <c r="O632" i="10"/>
  <c r="N505" i="10"/>
  <c r="O505" i="10" s="1"/>
  <c r="AD516" i="10"/>
  <c r="AE516" i="10" s="1"/>
  <c r="N472" i="10"/>
  <c r="O472" i="10" s="1"/>
  <c r="O558" i="10"/>
  <c r="N662" i="10"/>
  <c r="O662" i="10" s="1"/>
  <c r="AD531" i="10"/>
  <c r="AE531" i="10" s="1"/>
  <c r="AD487" i="10"/>
  <c r="AE487" i="10" s="1"/>
  <c r="O506" i="10"/>
  <c r="AD651" i="10"/>
  <c r="AE651" i="10" s="1"/>
  <c r="N510" i="10"/>
  <c r="O510" i="10" s="1"/>
  <c r="AD495" i="10"/>
  <c r="AE495" i="10" s="1"/>
  <c r="N488" i="10"/>
  <c r="O488" i="10" s="1"/>
  <c r="AD423" i="10"/>
  <c r="AE423" i="10" s="1"/>
  <c r="AD578" i="10"/>
  <c r="AE578" i="10" s="1"/>
  <c r="O540" i="10"/>
  <c r="AD503" i="10"/>
  <c r="AE503" i="10" s="1"/>
  <c r="O456" i="10"/>
  <c r="O544" i="10"/>
  <c r="N637" i="10"/>
  <c r="O637" i="10" s="1"/>
  <c r="N470" i="10"/>
  <c r="O470" i="10" s="1"/>
  <c r="N563" i="10"/>
  <c r="O563" i="10" s="1"/>
  <c r="AD491" i="10"/>
  <c r="AE491" i="10" s="1"/>
  <c r="N512" i="10"/>
  <c r="O512" i="10" s="1"/>
  <c r="O504" i="10"/>
  <c r="AD607" i="10"/>
  <c r="AE607" i="10" s="1"/>
  <c r="AD585" i="10"/>
  <c r="AE585" i="10" s="1"/>
  <c r="N455" i="10"/>
  <c r="O455" i="10" s="1"/>
  <c r="AD579" i="10"/>
  <c r="AE579" i="10" s="1"/>
  <c r="AD647" i="10"/>
  <c r="AE647" i="10" s="1"/>
  <c r="O491" i="10"/>
  <c r="AD499" i="10"/>
  <c r="AE499" i="10" s="1"/>
  <c r="N461" i="10"/>
  <c r="O461" i="10" s="1"/>
  <c r="N501" i="10"/>
  <c r="O501" i="10" s="1"/>
  <c r="AD498" i="10"/>
  <c r="AE498" i="10" s="1"/>
  <c r="N549" i="10"/>
  <c r="O549" i="10" s="1"/>
  <c r="O618" i="10"/>
  <c r="AD661" i="10"/>
  <c r="AE661" i="10" s="1"/>
  <c r="AD481" i="10"/>
  <c r="AE481" i="10" s="1"/>
  <c r="AD509" i="10"/>
  <c r="AE509" i="10" s="1"/>
  <c r="O555" i="10"/>
  <c r="AD458" i="10"/>
  <c r="AE458" i="10" s="1"/>
  <c r="N508" i="10"/>
  <c r="O508" i="10" s="1"/>
  <c r="AD518" i="10"/>
  <c r="AE518" i="10" s="1"/>
  <c r="AD421" i="10"/>
  <c r="AE421" i="10" s="1"/>
  <c r="O553" i="10"/>
  <c r="N514" i="10"/>
  <c r="O514" i="10" s="1"/>
  <c r="N495" i="10"/>
  <c r="O495" i="10" s="1"/>
  <c r="AD535" i="10"/>
  <c r="AE535" i="10" s="1"/>
  <c r="AD537" i="10"/>
  <c r="AE537" i="10" s="1"/>
  <c r="AD591" i="10"/>
  <c r="AE591" i="10" s="1"/>
  <c r="AD599" i="10"/>
  <c r="AE599" i="10" s="1"/>
  <c r="AD660" i="10"/>
  <c r="AE660" i="10" s="1"/>
  <c r="N638" i="10"/>
  <c r="O638" i="10" s="1"/>
  <c r="O483" i="10"/>
  <c r="N630" i="10"/>
  <c r="O630" i="10" s="1"/>
  <c r="AD560" i="10"/>
  <c r="AE560" i="10" s="1"/>
  <c r="O566" i="10"/>
  <c r="N476" i="10"/>
  <c r="O476" i="10" s="1"/>
  <c r="N538" i="10"/>
  <c r="O538" i="10" s="1"/>
  <c r="N602" i="10"/>
  <c r="O602" i="10" s="1"/>
  <c r="N651" i="10"/>
  <c r="O651" i="10" s="1"/>
  <c r="O600" i="10"/>
  <c r="N464" i="10"/>
  <c r="O464" i="10" s="1"/>
  <c r="N516" i="10"/>
  <c r="O516" i="10" s="1"/>
  <c r="N577" i="10"/>
  <c r="O577" i="10" s="1"/>
  <c r="N567" i="10"/>
  <c r="O567" i="10" s="1"/>
  <c r="O621" i="10"/>
  <c r="O574" i="10"/>
  <c r="O523" i="10"/>
  <c r="N509" i="10"/>
  <c r="O509" i="10" s="1"/>
  <c r="N520" i="10"/>
  <c r="O520" i="10" s="1"/>
  <c r="O529" i="10"/>
  <c r="O655" i="10"/>
  <c r="N650" i="10"/>
  <c r="O650" i="10" s="1"/>
  <c r="N623" i="10"/>
  <c r="O623" i="10" s="1"/>
  <c r="N550" i="10"/>
  <c r="O550" i="10" s="1"/>
  <c r="O578" i="10"/>
  <c r="AD465" i="10"/>
  <c r="AE465" i="10" s="1"/>
  <c r="N562" i="10"/>
  <c r="O562" i="10" s="1"/>
  <c r="N546" i="10"/>
  <c r="O546" i="10" s="1"/>
  <c r="N606" i="10"/>
  <c r="O606" i="10" s="1"/>
  <c r="AD603" i="10"/>
  <c r="AE603" i="10" s="1"/>
  <c r="AD652" i="10"/>
  <c r="AE652" i="10" s="1"/>
  <c r="AD477" i="10"/>
  <c r="AE477" i="10" s="1"/>
  <c r="O642" i="10"/>
  <c r="N486" i="10"/>
  <c r="O486" i="10" s="1"/>
  <c r="O646" i="10"/>
  <c r="O536" i="10"/>
  <c r="O660" i="10"/>
  <c r="AD502" i="10"/>
  <c r="AE502" i="10" s="1"/>
  <c r="N493" i="10"/>
  <c r="O493" i="10" s="1"/>
  <c r="N480" i="10"/>
  <c r="O480" i="10" s="1"/>
  <c r="N478" i="10"/>
  <c r="O478" i="10" s="1"/>
  <c r="O634" i="10"/>
  <c r="N571" i="10"/>
  <c r="O571" i="10" s="1"/>
  <c r="O570" i="10"/>
  <c r="AD539" i="10"/>
  <c r="AE539" i="10" s="1"/>
  <c r="AD592" i="10"/>
  <c r="AE592" i="10" s="1"/>
  <c r="AD420" i="10"/>
  <c r="AE420" i="10" s="1"/>
  <c r="O542" i="10"/>
  <c r="AD627" i="10"/>
  <c r="AE627" i="10" s="1"/>
  <c r="AD644" i="10"/>
  <c r="AE644" i="10" s="1"/>
  <c r="AD619" i="10"/>
  <c r="AE619" i="10" s="1"/>
  <c r="O533" i="10"/>
  <c r="AD432" i="10"/>
  <c r="AE432" i="10" s="1"/>
  <c r="AD543" i="10"/>
  <c r="AE543" i="10" s="1"/>
  <c r="N453" i="10"/>
  <c r="O453" i="10" s="1"/>
  <c r="O624" i="10"/>
  <c r="O586" i="10"/>
  <c r="AD511" i="10"/>
  <c r="AE511" i="10" s="1"/>
  <c r="AD485" i="10"/>
  <c r="AE485" i="10" s="1"/>
  <c r="O468" i="10"/>
  <c r="O626" i="10"/>
  <c r="O452" i="10"/>
  <c r="AD629" i="10"/>
  <c r="AE629" i="10" s="1"/>
  <c r="O521" i="10"/>
  <c r="O610" i="10"/>
  <c r="O627" i="10"/>
  <c r="AD624" i="10"/>
  <c r="AE624" i="10" s="1"/>
  <c r="AD510" i="10"/>
  <c r="AE510" i="10" s="1"/>
  <c r="AD517" i="10"/>
  <c r="AE517" i="10" s="1"/>
  <c r="O659" i="10"/>
  <c r="O590" i="10"/>
  <c r="O598" i="10"/>
  <c r="AD637" i="10"/>
  <c r="AE637" i="10" s="1"/>
  <c r="O525" i="10"/>
  <c r="O487" i="10"/>
  <c r="O654" i="10"/>
  <c r="O628" i="10"/>
  <c r="AD493" i="10"/>
  <c r="AE493" i="10" s="1"/>
  <c r="O490" i="10"/>
  <c r="O613" i="10"/>
  <c r="O596" i="10"/>
  <c r="O465" i="10"/>
  <c r="O499" i="10"/>
  <c r="O492" i="10"/>
  <c r="O496" i="10"/>
  <c r="O454" i="10"/>
  <c r="O463" i="10"/>
  <c r="O503" i="10"/>
  <c r="O479" i="10"/>
  <c r="O649" i="10"/>
  <c r="O615" i="10"/>
  <c r="O548" i="10"/>
  <c r="O603" i="10"/>
  <c r="AD632" i="10"/>
  <c r="AE632" i="10" s="1"/>
  <c r="O588" i="10"/>
  <c r="O599" i="10"/>
  <c r="O475" i="10"/>
  <c r="O617" i="10"/>
  <c r="O471" i="10"/>
  <c r="O474" i="10"/>
  <c r="O561" i="10"/>
  <c r="O519" i="10"/>
  <c r="O568" i="10"/>
  <c r="O573" i="10"/>
  <c r="O595" i="10"/>
  <c r="O620" i="10"/>
  <c r="O551" i="10"/>
  <c r="O652" i="10"/>
  <c r="O517" i="10"/>
  <c r="O622" i="10"/>
  <c r="O458" i="10"/>
  <c r="O607" i="10"/>
  <c r="O569" i="10"/>
  <c r="O565" i="10"/>
  <c r="O451" i="10"/>
  <c r="O557" i="10"/>
  <c r="O572" i="10"/>
  <c r="O608" i="10"/>
  <c r="O524" i="10"/>
  <c r="O576" i="10"/>
  <c r="O485" i="10"/>
  <c r="O581" i="10"/>
  <c r="O583" i="10"/>
  <c r="O605" i="10"/>
  <c r="O616" i="10"/>
  <c r="O541" i="10"/>
  <c r="O592" i="10"/>
  <c r="O564" i="10"/>
  <c r="O552" i="10"/>
  <c r="O554" i="10"/>
  <c r="AD482" i="10"/>
  <c r="AE482" i="10" s="1"/>
  <c r="O489" i="10"/>
  <c r="O560" i="10"/>
  <c r="O482" i="10"/>
  <c r="O584" i="10"/>
  <c r="O526" i="10"/>
  <c r="O481" i="10"/>
  <c r="O635" i="10"/>
  <c r="O528" i="10"/>
  <c r="O609" i="10"/>
  <c r="O629" i="10"/>
  <c r="O502" i="10"/>
  <c r="O484" i="10"/>
  <c r="O612" i="10"/>
  <c r="O645" i="10"/>
  <c r="O522" i="10"/>
  <c r="O467" i="10"/>
  <c r="O556" i="10"/>
  <c r="O653" i="10"/>
  <c r="O593" i="10"/>
  <c r="O633" i="10"/>
  <c r="O636" i="10"/>
  <c r="O513" i="10"/>
  <c r="O457" i="10"/>
  <c r="O532" i="10"/>
  <c r="O661" i="10"/>
  <c r="O547" i="10"/>
  <c r="O644" i="10"/>
  <c r="O515" i="10"/>
  <c r="O539" i="10"/>
  <c r="O604" i="10"/>
  <c r="O589" i="10"/>
  <c r="O640" i="10"/>
  <c r="O469" i="10"/>
  <c r="O466" i="10"/>
  <c r="O611" i="10"/>
  <c r="O459" i="10"/>
  <c r="O657" i="10"/>
  <c r="O507" i="10"/>
  <c r="O537" i="10"/>
  <c r="O534" i="10"/>
  <c r="O585" i="10"/>
  <c r="O543" i="10"/>
  <c r="O625" i="10"/>
  <c r="O579" i="10"/>
  <c r="O597" i="10"/>
  <c r="O648" i="10"/>
  <c r="O643" i="10"/>
  <c r="O477" i="10"/>
  <c r="O473" i="10"/>
  <c r="O545" i="10"/>
  <c r="O494" i="10"/>
  <c r="O511" i="10"/>
  <c r="O462" i="10"/>
  <c r="O535" i="10"/>
  <c r="O580" i="10"/>
  <c r="O639" i="10"/>
  <c r="O587" i="10"/>
  <c r="O601" i="10"/>
  <c r="O591" i="10"/>
  <c r="O641" i="10"/>
  <c r="O500" i="10"/>
  <c r="O530" i="10"/>
  <c r="AD453" i="10"/>
  <c r="AE453" i="10" s="1"/>
  <c r="AD587" i="10"/>
  <c r="AE587" i="10" s="1"/>
  <c r="AD501" i="10"/>
  <c r="AE501" i="10" s="1"/>
  <c r="AD530" i="10"/>
  <c r="AE530" i="10" s="1"/>
  <c r="AD584" i="10"/>
  <c r="AE584" i="10" s="1"/>
  <c r="AD437" i="10"/>
  <c r="AE437" i="10" s="1"/>
  <c r="AD595" i="10"/>
  <c r="AE595" i="10" s="1"/>
  <c r="AD507" i="10"/>
  <c r="AE507" i="10" s="1"/>
  <c r="AD441" i="10"/>
  <c r="AE441" i="10" s="1"/>
  <c r="AD571" i="10"/>
  <c r="AE571" i="10" s="1"/>
  <c r="AD467" i="10"/>
  <c r="AE467" i="10" s="1"/>
  <c r="AD444" i="10"/>
  <c r="AE444" i="10" s="1"/>
  <c r="AD561" i="10"/>
  <c r="AE561" i="10" s="1"/>
  <c r="AD451" i="10"/>
  <c r="AE451" i="10" s="1"/>
  <c r="AD633" i="10"/>
  <c r="AE633" i="10" s="1"/>
  <c r="AD547" i="10"/>
  <c r="AE547" i="10" s="1"/>
  <c r="AD447" i="10"/>
  <c r="AE447" i="10" s="1"/>
  <c r="AD463" i="10"/>
  <c r="AE463" i="10" s="1"/>
  <c r="AD551" i="10"/>
  <c r="AE551" i="10" s="1"/>
  <c r="AD439" i="10"/>
  <c r="AE439" i="10" s="1"/>
  <c r="AD565" i="10"/>
  <c r="AE565" i="10" s="1"/>
  <c r="AD589" i="10"/>
  <c r="AE589" i="10" s="1"/>
  <c r="AD557" i="10"/>
  <c r="AE557" i="10" s="1"/>
  <c r="AD593" i="10"/>
  <c r="AE593" i="10" s="1"/>
  <c r="AD443" i="10"/>
  <c r="AE443" i="10" s="1"/>
  <c r="AD459" i="10"/>
  <c r="AE459" i="10" s="1"/>
  <c r="AD597" i="10"/>
  <c r="AE597" i="10" s="1"/>
  <c r="AD519" i="10"/>
  <c r="AE519" i="10" s="1"/>
  <c r="AD569" i="10"/>
  <c r="AE569" i="10" s="1"/>
  <c r="AD601" i="10"/>
  <c r="AE601" i="10" s="1"/>
  <c r="AD515" i="10"/>
  <c r="AE515" i="10" s="1"/>
  <c r="N631" i="10"/>
  <c r="O631" i="10" s="1"/>
  <c r="AD605" i="10"/>
  <c r="AE605" i="10" s="1"/>
  <c r="AD609" i="10"/>
  <c r="AE609" i="10" s="1"/>
  <c r="AD573" i="10"/>
  <c r="AE573" i="10" s="1"/>
  <c r="AD657" i="10"/>
  <c r="AE657" i="10" s="1"/>
  <c r="V65" i="4"/>
  <c r="J18" i="1"/>
  <c r="E43" i="4"/>
  <c r="K16" i="1"/>
  <c r="A16" i="1"/>
  <c r="J15" i="1"/>
  <c r="A12" i="1"/>
  <c r="A4" i="1" s="1"/>
  <c r="J38" i="1"/>
  <c r="L37" i="1"/>
  <c r="U75" i="4" l="1"/>
  <c r="I27" i="1"/>
  <c r="A1" i="3" l="1"/>
  <c r="A1" i="2"/>
  <c r="A1" i="1"/>
  <c r="AB37" i="1" l="1"/>
  <c r="AD37" i="1" s="1"/>
  <c r="AD38" i="1" l="1"/>
  <c r="AB38" i="1"/>
  <c r="L42" i="1" l="1"/>
  <c r="L41" i="1"/>
  <c r="F46" i="1" l="1"/>
  <c r="L50" i="1" l="1"/>
  <c r="AQ48" i="2" l="1"/>
  <c r="A55" i="1"/>
  <c r="L49" i="1"/>
  <c r="A4" i="3" l="1"/>
  <c r="A4" i="2"/>
  <c r="AE38" i="4" l="1"/>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4" i="4"/>
  <c r="AE37" i="4"/>
  <c r="L33" i="1" l="1"/>
  <c r="S25" i="10" l="1"/>
  <c r="R25" i="10"/>
  <c r="Y25" i="10" l="1"/>
  <c r="AB25" i="10"/>
  <c r="V25" i="10"/>
  <c r="AA25" i="10"/>
  <c r="X25" i="10"/>
  <c r="U25" i="10"/>
  <c r="C25" i="10"/>
  <c r="B25" i="10"/>
  <c r="J14" i="1"/>
  <c r="T37" i="1"/>
  <c r="V38" i="1" s="1"/>
  <c r="N46" i="1"/>
  <c r="N45" i="1"/>
  <c r="P45" i="1" l="1"/>
  <c r="R45" i="1"/>
  <c r="T45" i="1"/>
  <c r="V45" i="1"/>
  <c r="X45" i="1"/>
  <c r="Z45" i="1"/>
  <c r="AB45" i="1"/>
  <c r="AD25" i="10"/>
  <c r="AE25" i="10" s="1"/>
  <c r="I25" i="10"/>
  <c r="AL45" i="1"/>
  <c r="AH45" i="1"/>
  <c r="AJ45" i="1"/>
  <c r="AF45" i="1"/>
  <c r="AB46" i="1"/>
  <c r="R46" i="1"/>
  <c r="AH46" i="1"/>
  <c r="AD46" i="1"/>
  <c r="P46" i="1"/>
  <c r="AF46" i="1"/>
  <c r="T46" i="1"/>
  <c r="V46" i="1"/>
  <c r="AL46" i="1"/>
  <c r="X46" i="1"/>
  <c r="AJ46" i="1"/>
  <c r="Z46" i="1"/>
  <c r="E70" i="4"/>
  <c r="L25" i="10"/>
  <c r="F25" i="10"/>
  <c r="W65" i="4"/>
  <c r="E25" i="10"/>
  <c r="K25" i="10"/>
  <c r="H25" i="10"/>
  <c r="V37" i="1"/>
  <c r="T38" i="1"/>
  <c r="N37" i="1"/>
  <c r="B18" i="5"/>
  <c r="C18" i="5"/>
  <c r="D18" i="5"/>
  <c r="E18" i="5"/>
  <c r="F18" i="5"/>
  <c r="G18" i="5"/>
  <c r="H18" i="5"/>
  <c r="I18" i="5"/>
  <c r="J18" i="5"/>
  <c r="K18" i="5"/>
  <c r="L18" i="5"/>
  <c r="M18" i="5"/>
  <c r="A18" i="5"/>
  <c r="B13" i="5"/>
  <c r="C13" i="5"/>
  <c r="D13" i="5"/>
  <c r="E13" i="5"/>
  <c r="F13" i="5"/>
  <c r="G13" i="5"/>
  <c r="H13" i="5"/>
  <c r="I13" i="5"/>
  <c r="J13" i="5"/>
  <c r="K13" i="5"/>
  <c r="L13" i="5"/>
  <c r="M13" i="5"/>
  <c r="A13" i="5"/>
  <c r="AP45" i="1" l="1"/>
  <c r="AN45" i="1"/>
  <c r="N25" i="10"/>
  <c r="O25" i="10" s="1"/>
  <c r="AP47" i="1"/>
  <c r="AP49" i="1"/>
  <c r="AP46" i="1"/>
  <c r="AP48" i="1"/>
  <c r="AP50" i="1"/>
  <c r="AN47" i="1"/>
  <c r="AN49" i="1"/>
  <c r="AN46" i="1"/>
  <c r="AN48" i="1"/>
  <c r="AN50" i="1"/>
  <c r="E72" i="4"/>
  <c r="E71" i="4"/>
  <c r="E69" i="4"/>
  <c r="E68" i="4"/>
  <c r="E67" i="4"/>
  <c r="G34" i="2" l="1"/>
  <c r="E65" i="4"/>
  <c r="E51" i="4" s="1"/>
  <c r="X37" i="1" l="1"/>
  <c r="L26" i="1"/>
  <c r="J19" i="1" l="1"/>
  <c r="U11" i="2"/>
  <c r="U12" i="2"/>
  <c r="U13" i="2"/>
  <c r="U14" i="2"/>
  <c r="U15" i="2"/>
  <c r="U16" i="2"/>
  <c r="U17" i="2"/>
  <c r="U18" i="2"/>
  <c r="U19" i="2"/>
  <c r="U10" i="2"/>
  <c r="R11" i="2"/>
  <c r="R12" i="2"/>
  <c r="R13" i="2"/>
  <c r="R14" i="2"/>
  <c r="R15" i="2"/>
  <c r="R16" i="2"/>
  <c r="R17" i="2"/>
  <c r="R18" i="2"/>
  <c r="R19" i="2"/>
  <c r="R10" i="2"/>
  <c r="P11" i="2"/>
  <c r="P12" i="2"/>
  <c r="P13" i="2"/>
  <c r="P14" i="2"/>
  <c r="P15" i="2"/>
  <c r="P16" i="2"/>
  <c r="P17" i="2"/>
  <c r="P18" i="2"/>
  <c r="P19" i="2"/>
  <c r="P10" i="2"/>
  <c r="L11" i="2"/>
  <c r="L12" i="2"/>
  <c r="L13" i="2"/>
  <c r="L14" i="2"/>
  <c r="L15" i="2"/>
  <c r="L16" i="2"/>
  <c r="L17" i="2"/>
  <c r="L18" i="2"/>
  <c r="L19" i="2"/>
  <c r="L10" i="2"/>
  <c r="J11" i="2"/>
  <c r="J12" i="2"/>
  <c r="J13" i="2"/>
  <c r="J14" i="2"/>
  <c r="J15" i="2"/>
  <c r="J16" i="2"/>
  <c r="J17" i="2"/>
  <c r="J18" i="2"/>
  <c r="J19" i="2"/>
  <c r="J10" i="2"/>
  <c r="A11" i="2"/>
  <c r="A12" i="2"/>
  <c r="A13" i="2"/>
  <c r="A14" i="2"/>
  <c r="A15" i="2"/>
  <c r="A16" i="2"/>
  <c r="A17" i="2"/>
  <c r="A18" i="2"/>
  <c r="A19" i="2"/>
  <c r="A10" i="2"/>
  <c r="E60" i="5"/>
  <c r="E59" i="5"/>
  <c r="B60" i="5"/>
  <c r="B59" i="5"/>
  <c r="J20" i="2" l="1"/>
  <c r="Z38" i="1"/>
  <c r="Z37" i="1" l="1"/>
  <c r="X38" i="1"/>
  <c r="AP37" i="1"/>
  <c r="AP38" i="1" s="1"/>
  <c r="AN37" i="1"/>
  <c r="AN38" i="1" s="1"/>
  <c r="AJ37" i="1"/>
  <c r="AJ38" i="1" s="1"/>
  <c r="AF37" i="1"/>
  <c r="AH38" i="1" s="1"/>
  <c r="AF38" i="1" l="1"/>
  <c r="AL38" i="1"/>
  <c r="AH37" i="1"/>
  <c r="AL37" i="1"/>
  <c r="L43" i="1" l="1"/>
  <c r="L40" i="1"/>
  <c r="L39" i="1"/>
  <c r="L36" i="1"/>
  <c r="L35" i="1"/>
  <c r="L34" i="1"/>
  <c r="E30" i="1"/>
  <c r="F28" i="1"/>
  <c r="A7" i="1"/>
  <c r="AF25" i="10" l="1"/>
  <c r="P25" i="10"/>
  <c r="K9" i="10" l="1"/>
  <c r="C9" i="10" s="1"/>
  <c r="I9" i="10" s="1"/>
  <c r="K10" i="10"/>
  <c r="C10" i="10" s="1"/>
  <c r="AA13" i="10"/>
  <c r="S13" i="10" s="1"/>
  <c r="M47" i="2" s="1"/>
  <c r="K11" i="10"/>
  <c r="C11" i="10" s="1"/>
  <c r="H11" i="10" s="1"/>
  <c r="AA16" i="10"/>
  <c r="S16" i="10" s="1"/>
  <c r="AA12" i="10"/>
  <c r="S12" i="10" s="1"/>
  <c r="M46" i="2" s="1"/>
  <c r="AA9" i="10"/>
  <c r="AA15" i="10"/>
  <c r="S15" i="10" s="1"/>
  <c r="AA11" i="10"/>
  <c r="S11" i="10" s="1"/>
  <c r="M45" i="2" s="1"/>
  <c r="AA18" i="10"/>
  <c r="S18" i="10" s="1"/>
  <c r="AA14" i="10"/>
  <c r="S14" i="10" s="1"/>
  <c r="AA10" i="10"/>
  <c r="S10" i="10" s="1"/>
  <c r="M44" i="2" s="1"/>
  <c r="AA17" i="10"/>
  <c r="S17" i="10" s="1"/>
  <c r="K18" i="10"/>
  <c r="C18" i="10" s="1"/>
  <c r="I18" i="10" s="1"/>
  <c r="K13" i="10"/>
  <c r="C13" i="10" s="1"/>
  <c r="K15" i="10"/>
  <c r="C15" i="10" s="1"/>
  <c r="K14" i="10"/>
  <c r="C14" i="10" s="1"/>
  <c r="I14" i="10" s="1"/>
  <c r="K16" i="10"/>
  <c r="C16" i="10" s="1"/>
  <c r="I16" i="10" s="1"/>
  <c r="K12" i="10"/>
  <c r="C12" i="10" s="1"/>
  <c r="K17" i="10"/>
  <c r="C17" i="10" s="1"/>
  <c r="I17" i="10" s="1"/>
  <c r="H18" i="10" l="1"/>
  <c r="H13" i="10"/>
  <c r="A47" i="2"/>
  <c r="H14" i="10"/>
  <c r="I13" i="10"/>
  <c r="H10" i="10"/>
  <c r="A44" i="2"/>
  <c r="I11" i="10"/>
  <c r="A45" i="2"/>
  <c r="X13" i="10"/>
  <c r="V47" i="2" s="1"/>
  <c r="I12" i="10"/>
  <c r="A46" i="2"/>
  <c r="A43" i="2"/>
  <c r="H15" i="10"/>
  <c r="H16" i="10"/>
  <c r="I10" i="10"/>
  <c r="Y13" i="10"/>
  <c r="T47" i="2" s="1"/>
  <c r="I15" i="10"/>
  <c r="X17" i="10"/>
  <c r="Y17" i="10"/>
  <c r="X14" i="10"/>
  <c r="Y14" i="10"/>
  <c r="X15" i="10"/>
  <c r="Y15" i="10"/>
  <c r="X12" i="10"/>
  <c r="V46" i="2" s="1"/>
  <c r="Y12" i="10"/>
  <c r="T46" i="2" s="1"/>
  <c r="X10" i="10"/>
  <c r="V44" i="2" s="1"/>
  <c r="Y10" i="10"/>
  <c r="T44" i="2" s="1"/>
  <c r="X18" i="10"/>
  <c r="Y18" i="10"/>
  <c r="X11" i="10"/>
  <c r="V45" i="2" s="1"/>
  <c r="Y11" i="10"/>
  <c r="T45" i="2" s="1"/>
  <c r="X16" i="10"/>
  <c r="Y16" i="10"/>
  <c r="H17" i="10"/>
  <c r="H9" i="10"/>
  <c r="H12" i="10"/>
  <c r="S9" i="10"/>
  <c r="J47" i="2" l="1"/>
  <c r="H47" i="2"/>
  <c r="Y9" i="10"/>
  <c r="M43" i="2"/>
  <c r="J43" i="2"/>
  <c r="H43" i="2"/>
  <c r="J46" i="2"/>
  <c r="H46" i="2"/>
  <c r="H45" i="2"/>
  <c r="J45" i="2"/>
  <c r="J44" i="2"/>
  <c r="H44" i="2"/>
  <c r="X9" i="10"/>
  <c r="V43" i="2" l="1"/>
  <c r="T43" i="2"/>
</calcChain>
</file>

<file path=xl/comments1.xml><?xml version="1.0" encoding="utf-8"?>
<comments xmlns="http://schemas.openxmlformats.org/spreadsheetml/2006/main">
  <authors>
    <author>establ_p</author>
  </authors>
  <commentList>
    <comment ref="AD45" authorId="0">
      <text>
        <r>
          <rPr>
            <b/>
            <sz val="9"/>
            <color indexed="81"/>
            <rFont val="Tahoma"/>
            <family val="2"/>
          </rPr>
          <t>En dure</t>
        </r>
      </text>
    </comment>
    <comment ref="AN45" authorId="0">
      <text>
        <r>
          <rPr>
            <b/>
            <sz val="9"/>
            <color indexed="81"/>
            <rFont val="Tahoma"/>
            <family val="2"/>
          </rPr>
          <t>En dure</t>
        </r>
      </text>
    </comment>
    <comment ref="AP45" authorId="0">
      <text>
        <r>
          <rPr>
            <b/>
            <sz val="9"/>
            <color indexed="81"/>
            <rFont val="Tahoma"/>
            <family val="2"/>
          </rPr>
          <t>En dure</t>
        </r>
      </text>
    </comment>
  </commentList>
</comments>
</file>

<file path=xl/sharedStrings.xml><?xml version="1.0" encoding="utf-8"?>
<sst xmlns="http://schemas.openxmlformats.org/spreadsheetml/2006/main" count="7214" uniqueCount="1430">
  <si>
    <t>Volat.</t>
  </si>
  <si>
    <t>Jan.</t>
  </si>
  <si>
    <t>Oct.</t>
  </si>
  <si>
    <t>Nov.</t>
  </si>
  <si>
    <t>Année</t>
  </si>
  <si>
    <t>TOTAL</t>
  </si>
  <si>
    <t>Poids M-1</t>
  </si>
  <si>
    <t>Poids M</t>
  </si>
  <si>
    <t>Tracking Error</t>
  </si>
  <si>
    <t>Vl et Actif Net</t>
  </si>
  <si>
    <t>Performance 1 mois</t>
  </si>
  <si>
    <t>Performance YTD</t>
  </si>
  <si>
    <t>ACHAT / RENFORCEMENT</t>
  </si>
  <si>
    <t>VENTE / ALLEGEMENT</t>
  </si>
  <si>
    <t>Libelle</t>
  </si>
  <si>
    <t>Var Poids M</t>
  </si>
  <si>
    <t>Isin</t>
  </si>
  <si>
    <t>Cours M</t>
  </si>
  <si>
    <t>Cours M-1</t>
  </si>
  <si>
    <t>Qté M</t>
  </si>
  <si>
    <t>Qté M-1</t>
  </si>
  <si>
    <t>Var Qté M</t>
  </si>
  <si>
    <t>Echelle de Risque</t>
  </si>
  <si>
    <t>PERFORMANCES &amp; VOLATILITES GLISSANTES</t>
  </si>
  <si>
    <t>PERFORMANCES &amp; VOLATILITES ANNUELLES</t>
  </si>
  <si>
    <t>PERFORMANCES &amp; VOLATILITES DEPUIS CREATION</t>
  </si>
  <si>
    <t>PERFORMANCES MENSUELLES</t>
  </si>
  <si>
    <t>INDICATEURS DE RISQUES</t>
  </si>
  <si>
    <t>PERFORMANCES POUR GRAPHIQUES</t>
  </si>
  <si>
    <t>Pays</t>
  </si>
  <si>
    <t>Répartition par devise</t>
  </si>
  <si>
    <t>Répartition par secteur</t>
  </si>
  <si>
    <t>Répartition par pays</t>
  </si>
  <si>
    <t>Coupon</t>
  </si>
  <si>
    <t>Maturité</t>
  </si>
  <si>
    <t>Répartition par rating</t>
  </si>
  <si>
    <t>Répartition par maturité</t>
  </si>
  <si>
    <t>Actif Net comptable</t>
  </si>
  <si>
    <t>Taux investissement</t>
  </si>
  <si>
    <t>EUR</t>
  </si>
  <si>
    <t xml:space="preserve"> </t>
  </si>
  <si>
    <t>BBB-</t>
  </si>
  <si>
    <t>C</t>
  </si>
  <si>
    <t>BBB</t>
  </si>
  <si>
    <t>YTM</t>
  </si>
  <si>
    <t>4</t>
  </si>
  <si>
    <t>Vol 5 ans</t>
  </si>
  <si>
    <t>Perf 5 ans</t>
  </si>
  <si>
    <t>Vol 3 ans</t>
  </si>
  <si>
    <t>Perf 3 ans</t>
  </si>
  <si>
    <t>Vol 2 ans</t>
  </si>
  <si>
    <t>Perf 2 ans</t>
  </si>
  <si>
    <t>Vol 1 an</t>
  </si>
  <si>
    <t>Perf 1 an</t>
  </si>
  <si>
    <t>Vol YTD</t>
  </si>
  <si>
    <t>Perf YTD</t>
  </si>
  <si>
    <t>Perf 6 mois</t>
  </si>
  <si>
    <t>Perf 3 mois</t>
  </si>
  <si>
    <t>Perf 1 mois</t>
  </si>
  <si>
    <t>Vol Création Indice</t>
  </si>
  <si>
    <t>Vol création Fonds</t>
  </si>
  <si>
    <t>Perf création Indice</t>
  </si>
  <si>
    <t>Perf création Fonds</t>
  </si>
  <si>
    <t>BBB+</t>
  </si>
  <si>
    <t>SOCIETE GENERALE SECURITIES SERVICES NET ASSET VALUE</t>
  </si>
  <si>
    <t>SOCIETE GENERALE PARIS</t>
  </si>
  <si>
    <t>12:00:00</t>
  </si>
  <si>
    <t>Capitalisation</t>
  </si>
  <si>
    <t>Coordonné</t>
  </si>
  <si>
    <t>Accroche</t>
  </si>
  <si>
    <t>Valorisateur</t>
  </si>
  <si>
    <t>Dépositaire</t>
  </si>
  <si>
    <t>Principaux risques</t>
  </si>
  <si>
    <t>SRRI</t>
  </si>
  <si>
    <t>Commissions de surperformance</t>
  </si>
  <si>
    <t>Frais courants</t>
  </si>
  <si>
    <t>Total de frais sur encours</t>
  </si>
  <si>
    <t>Taux de sortie maximum non acquis</t>
  </si>
  <si>
    <t>Taux de sortie acquis</t>
  </si>
  <si>
    <t>Taux d'entrée maximum non acquis</t>
  </si>
  <si>
    <t>Taux d'entrée acquis</t>
  </si>
  <si>
    <t>Date de règlement-livraison</t>
  </si>
  <si>
    <t>Heure de cut-off rachat</t>
  </si>
  <si>
    <t>Cut-off rachat</t>
  </si>
  <si>
    <t>Heure de cut-off souscription</t>
  </si>
  <si>
    <t>Cut-off souscription</t>
  </si>
  <si>
    <t>Périodicité de valorisation</t>
  </si>
  <si>
    <t>Société de gestion déléguée</t>
  </si>
  <si>
    <t>Société de gestion en titre</t>
  </si>
  <si>
    <t>ISR</t>
  </si>
  <si>
    <t>Eligibilité PEA</t>
  </si>
  <si>
    <t>Horizon de placement</t>
  </si>
  <si>
    <t>VL initiale</t>
  </si>
  <si>
    <t>Date de création</t>
  </si>
  <si>
    <t>Devise de la part</t>
  </si>
  <si>
    <t>Type de part</t>
  </si>
  <si>
    <t>Affectation du résultat</t>
  </si>
  <si>
    <t>Nature juridique</t>
  </si>
  <si>
    <t>Gérant</t>
  </si>
  <si>
    <t>Indice de référence (long)</t>
  </si>
  <si>
    <t>Indice de référence</t>
  </si>
  <si>
    <t>Classification UCITS IV</t>
  </si>
  <si>
    <t>Classification reporting</t>
  </si>
  <si>
    <t>Classification AMF</t>
  </si>
  <si>
    <t>Classe d'actifs</t>
  </si>
  <si>
    <t>Ticker Bloomberg</t>
  </si>
  <si>
    <t>Code ISIN</t>
  </si>
  <si>
    <t>libelleFonds</t>
  </si>
  <si>
    <t>Nom</t>
  </si>
  <si>
    <t>CCC+</t>
  </si>
  <si>
    <t>B-</t>
  </si>
  <si>
    <t>B</t>
  </si>
  <si>
    <t>B+</t>
  </si>
  <si>
    <t>BB-</t>
  </si>
  <si>
    <t>BB</t>
  </si>
  <si>
    <t>BB+</t>
  </si>
  <si>
    <t>AA</t>
  </si>
  <si>
    <t>A-</t>
  </si>
  <si>
    <t>Rating moyen</t>
  </si>
  <si>
    <t>Rating</t>
  </si>
  <si>
    <t>Secteur</t>
  </si>
  <si>
    <t>Devise</t>
  </si>
  <si>
    <t>Date de changement de gestion</t>
  </si>
  <si>
    <t>Indice Chainé OFI Euro High Yield</t>
  </si>
  <si>
    <t>Net Asset Value (EUR):</t>
  </si>
  <si>
    <t>Investment rate:</t>
  </si>
  <si>
    <t>Characteristics</t>
  </si>
  <si>
    <t>AMF Classification:</t>
  </si>
  <si>
    <t>Europerformance Classification:</t>
  </si>
  <si>
    <t>Main risks:</t>
  </si>
  <si>
    <t>Fund manager(s):</t>
  </si>
  <si>
    <t>Management company:</t>
  </si>
  <si>
    <t>Currency:</t>
  </si>
  <si>
    <t>Inception Date:</t>
  </si>
  <si>
    <t>Recommended investment horizon:</t>
  </si>
  <si>
    <t>Valuation:</t>
  </si>
  <si>
    <t>Subscription fees:</t>
  </si>
  <si>
    <t>Redemption fees:</t>
  </si>
  <si>
    <t>Settlement:</t>
  </si>
  <si>
    <t>Outperformance fees:</t>
  </si>
  <si>
    <t>Custodian:</t>
  </si>
  <si>
    <t>Monthly return</t>
  </si>
  <si>
    <t>YTD return</t>
  </si>
  <si>
    <t>Return &amp; Volatility</t>
  </si>
  <si>
    <t>Monthly returns</t>
  </si>
  <si>
    <t>Feb.</t>
  </si>
  <si>
    <t>Mar.</t>
  </si>
  <si>
    <t>Apr.</t>
  </si>
  <si>
    <t>Jun.</t>
  </si>
  <si>
    <t>Jul.</t>
  </si>
  <si>
    <t>May</t>
  </si>
  <si>
    <t>Sep.</t>
  </si>
  <si>
    <t>Dec.</t>
  </si>
  <si>
    <t>Benchmark</t>
  </si>
  <si>
    <t>Year</t>
  </si>
  <si>
    <r>
      <t xml:space="preserve">Benchmark </t>
    </r>
    <r>
      <rPr>
        <vertAlign val="superscript"/>
        <sz val="8"/>
        <color theme="1"/>
        <rFont val="Arial"/>
        <family val="2"/>
      </rPr>
      <t>(1)</t>
    </r>
  </si>
  <si>
    <t>Since inception</t>
  </si>
  <si>
    <r>
      <t xml:space="preserve">5 years </t>
    </r>
    <r>
      <rPr>
        <i/>
        <sz val="9"/>
        <color theme="1"/>
        <rFont val="Arial"/>
        <family val="2"/>
      </rPr>
      <t>(cum.)</t>
    </r>
  </si>
  <si>
    <r>
      <t xml:space="preserve">1 year </t>
    </r>
    <r>
      <rPr>
        <i/>
        <sz val="9"/>
        <color theme="1"/>
        <rFont val="Arial"/>
        <family val="2"/>
      </rPr>
      <t>(cum.)</t>
    </r>
  </si>
  <si>
    <t>6 months</t>
  </si>
  <si>
    <t>3 months</t>
  </si>
  <si>
    <t>Source: Europerformance</t>
  </si>
  <si>
    <t>Fund</t>
  </si>
  <si>
    <t>Benchmark (1)</t>
  </si>
  <si>
    <t>Name</t>
  </si>
  <si>
    <t>Weight</t>
  </si>
  <si>
    <t>Country</t>
  </si>
  <si>
    <t>Maturity</t>
  </si>
  <si>
    <r>
      <t xml:space="preserve">Statistical indicators </t>
    </r>
    <r>
      <rPr>
        <i/>
        <sz val="10"/>
        <color theme="0" tint="-4.9989318521683403E-2"/>
        <rFont val="Arial"/>
        <family val="2"/>
      </rPr>
      <t>(compared to the benchmark on a 1 year rolling basis)</t>
    </r>
  </si>
  <si>
    <r>
      <t xml:space="preserve">Sharpe Ratio </t>
    </r>
    <r>
      <rPr>
        <vertAlign val="superscript"/>
        <sz val="8"/>
        <color theme="1"/>
        <rFont val="Arial"/>
        <family val="2"/>
      </rPr>
      <t>(2)</t>
    </r>
  </si>
  <si>
    <t>Frequency of profit</t>
  </si>
  <si>
    <t>Average maturity</t>
  </si>
  <si>
    <t>Average spread</t>
  </si>
  <si>
    <t>Average rating</t>
  </si>
  <si>
    <t>Credit sensitivity</t>
  </si>
  <si>
    <t>Modified duration</t>
  </si>
  <si>
    <t>Main movements of the month</t>
  </si>
  <si>
    <t>Buy / Increase</t>
  </si>
  <si>
    <t>Sell / Decrease</t>
  </si>
  <si>
    <t>Weight M-1</t>
  </si>
  <si>
    <t>Weight M</t>
  </si>
  <si>
    <t>Asset management strategy</t>
  </si>
  <si>
    <t>Aug.</t>
  </si>
  <si>
    <t>Administrator:</t>
  </si>
  <si>
    <t>Distribution policy:</t>
  </si>
  <si>
    <t>D - 1</t>
  </si>
  <si>
    <t>Daily</t>
  </si>
  <si>
    <t>Over 3 years</t>
  </si>
  <si>
    <t>High Yield bonds</t>
  </si>
  <si>
    <t>Fixed Income</t>
  </si>
  <si>
    <t>OK</t>
  </si>
  <si>
    <t>No</t>
  </si>
  <si>
    <t>(1) OFI composite rating (methodology available on demand)</t>
  </si>
  <si>
    <t>Legal form:</t>
  </si>
  <si>
    <t>Return</t>
  </si>
  <si>
    <t>(2) Risk free rate: compounded EONIA</t>
  </si>
  <si>
    <t>BofA Merrill Lynch Euro Non-Financial Fixed &amp; Floating Rate High Yield (EUR)</t>
  </si>
  <si>
    <t>Bonds and other debt securities in EUR</t>
  </si>
  <si>
    <t>Subscription cut-off:</t>
  </si>
  <si>
    <t>Redemption cut-off:</t>
  </si>
  <si>
    <t>Maturity, Spread and Modified duration</t>
  </si>
  <si>
    <t>Worst draw down</t>
  </si>
  <si>
    <t>Capital and performance
Market risk: credit, fixed income, high yield, volatility, ermerging</t>
  </si>
  <si>
    <t>YTW</t>
  </si>
  <si>
    <t>D+2</t>
  </si>
  <si>
    <t>YTD</t>
  </si>
  <si>
    <r>
      <t xml:space="preserve">3 years </t>
    </r>
    <r>
      <rPr>
        <i/>
        <sz val="9"/>
        <color theme="1"/>
        <rFont val="Arial"/>
        <family val="2"/>
      </rPr>
      <t>(cum.)</t>
    </r>
  </si>
  <si>
    <t>Number of users</t>
  </si>
  <si>
    <t>Emetteurs</t>
  </si>
  <si>
    <t>Risk Profile (SRRI)</t>
  </si>
  <si>
    <t>2018</t>
  </si>
  <si>
    <t>Nombre d'émetteurs</t>
  </si>
  <si>
    <t>ISIN Code:</t>
  </si>
  <si>
    <r>
      <t>Benchmark</t>
    </r>
    <r>
      <rPr>
        <vertAlign val="superscript"/>
        <sz val="9"/>
        <color theme="1"/>
        <rFont val="Arial"/>
        <family val="2"/>
      </rPr>
      <t>(1)</t>
    </r>
    <r>
      <rPr>
        <b/>
        <sz val="9"/>
        <color theme="1"/>
        <rFont val="Arial"/>
        <family val="2"/>
      </rPr>
      <t>:</t>
    </r>
  </si>
  <si>
    <r>
      <t>Composite</t>
    </r>
    <r>
      <rPr>
        <vertAlign val="superscript"/>
        <sz val="8"/>
        <color theme="1"/>
        <rFont val="Arial"/>
        <family val="2"/>
      </rPr>
      <t xml:space="preserve"> (1)</t>
    </r>
  </si>
  <si>
    <t>100</t>
  </si>
  <si>
    <t>OFICEGI FP Equity</t>
  </si>
  <si>
    <t>FR0013274966</t>
  </si>
  <si>
    <t>Level:</t>
  </si>
  <si>
    <t>0,13%*</t>
  </si>
  <si>
    <t>Délai de recouvrement</t>
  </si>
  <si>
    <t>Durée Perte Max.</t>
  </si>
  <si>
    <t>Perte Max.</t>
  </si>
  <si>
    <t>Fréquence de Gain</t>
  </si>
  <si>
    <t>Ratio d'Information</t>
  </si>
  <si>
    <t>Ratio de Sharpe</t>
  </si>
  <si>
    <t>Alpha</t>
  </si>
  <si>
    <t>Bêta</t>
  </si>
  <si>
    <t>Bank of America Merrill Lynch Euro Non-Financial Fixed &amp; Floating Rate High Yield</t>
  </si>
  <si>
    <r>
      <t xml:space="preserve">Top 10 holdings </t>
    </r>
    <r>
      <rPr>
        <i/>
        <sz val="10"/>
        <color theme="0" tint="-4.9989318521683403E-2"/>
        <rFont val="Arial"/>
        <family val="2"/>
      </rPr>
      <t>(Cash and UCITS excluded)</t>
    </r>
  </si>
  <si>
    <t>Expo devises</t>
  </si>
  <si>
    <t>2019</t>
  </si>
  <si>
    <t>Investment policy :</t>
  </si>
  <si>
    <t>Maud BERT - Marc BLANC</t>
  </si>
  <si>
    <t>GI</t>
  </si>
  <si>
    <t xml:space="preserve">Ticker Bloomberg : </t>
  </si>
  <si>
    <r>
      <t xml:space="preserve">Sector breakdown </t>
    </r>
    <r>
      <rPr>
        <i/>
        <sz val="10"/>
        <color theme="0" tint="-4.9989318521683403E-2"/>
        <rFont val="Arial"/>
        <family val="2"/>
      </rPr>
      <t>(Cash and UCITS excluded)</t>
    </r>
  </si>
  <si>
    <r>
      <t xml:space="preserve">Geographical breakdown </t>
    </r>
    <r>
      <rPr>
        <i/>
        <sz val="10"/>
        <color theme="0" tint="-4.9989318521683403E-2"/>
        <rFont val="Arial"/>
        <family val="2"/>
      </rPr>
      <t>(Cash and UCITS excluded)</t>
    </r>
  </si>
  <si>
    <r>
      <t xml:space="preserve">Rating breakdown </t>
    </r>
    <r>
      <rPr>
        <vertAlign val="superscript"/>
        <sz val="10"/>
        <color theme="0" tint="-4.9989318521683403E-2"/>
        <rFont val="Arial"/>
        <family val="2"/>
      </rPr>
      <t>(1)</t>
    </r>
    <r>
      <rPr>
        <b/>
        <sz val="12"/>
        <color theme="0" tint="-4.9989318521683403E-2"/>
        <rFont val="Arial"/>
        <family val="2"/>
      </rPr>
      <t xml:space="preserve"> </t>
    </r>
    <r>
      <rPr>
        <i/>
        <sz val="10"/>
        <color theme="0" tint="-4.9989318521683403E-2"/>
        <rFont val="Arial"/>
        <family val="2"/>
      </rPr>
      <t>(Cash and UCITS excluded)</t>
    </r>
  </si>
  <si>
    <r>
      <t xml:space="preserve">Currency breakdown </t>
    </r>
    <r>
      <rPr>
        <i/>
        <sz val="10"/>
        <color theme="0" tint="-4.9989318521683403E-2"/>
        <rFont val="Arial"/>
        <family val="2"/>
      </rPr>
      <t>(Cash and UCITS excluded)</t>
    </r>
  </si>
  <si>
    <r>
      <t xml:space="preserve">Maturity breakdown </t>
    </r>
    <r>
      <rPr>
        <i/>
        <sz val="12"/>
        <color theme="0"/>
        <rFont val="Arial"/>
        <family val="2"/>
      </rPr>
      <t>(Cash and UCITS excluded)</t>
    </r>
  </si>
  <si>
    <t>Registred in:</t>
  </si>
  <si>
    <t>French FCP (Mutual Fund, UCITS V)</t>
  </si>
  <si>
    <t>2020</t>
  </si>
  <si>
    <t>* The average maturity is calculated on the hybrid fonds final maturity</t>
  </si>
  <si>
    <t>2 years cumulative return</t>
  </si>
  <si>
    <t>2021</t>
  </si>
  <si>
    <t>* Rallye 2023 &amp; 2030 are excluded from calculations</t>
  </si>
  <si>
    <t>2022</t>
  </si>
  <si>
    <t>29/08/2017</t>
  </si>
  <si>
    <t>Adresse</t>
  </si>
  <si>
    <t>Disclaimer</t>
  </si>
  <si>
    <t>Contact</t>
  </si>
  <si>
    <t>Réglementation SFDR</t>
  </si>
  <si>
    <t>2023</t>
  </si>
  <si>
    <t>Ofi Invest Asset Management •  A portfolio management company authorised by the AMF under number GP 92-12 • Intracommunity VAT no.: FR 51384940342 • 
Principal activity (APE) code 6630Z • 22 rue Vernier 75017 Paris • Tel.: + 33 (0)1 40 68 17 17 • Fax: + 33 (0)1 40 68 17 18 • www.ofi-invest-am.com</t>
  </si>
  <si>
    <t>This is a non-contractual document provided for information only. This document is intended solely for unitholders or shareholders in the Fund. The information contained in this document is of no contractual value. Only the Fund’s full prospectus and latest financial statements shall be deemed legally binding. Past performance is no guarantee of future performance and is not constant over time. Stated performance includes all fees with the exception of subscription and redemption fees. Investors in this fund are exposed to risks associated with changes in the value of units or shares in the Fund arising from market fluctuations. As such, the value of an investment may rise or fall, and investors may consequently lose some or all of their initial investment. This document is provided for information purposes only and is not intended to be either legally binding or contractual in nature. The investor acknowledges having received a copy of the prospectus filed with the AMF prior to investing. In spite of the care taken in preparing this document, the management company cannot guarantee that the information it contains is accurate, complete and up to date. The company may not be held liable for any losses incurred by investors who base their investment decisions solely on this document. The information in this document may not be reproduced in full or in part without the prior consent of its author. All requests for further information about the Fund should be directed to Ofi Invest Asset Management, 22 rue Vernier, 75017 Paris, France.</t>
  </si>
  <si>
    <t>CONTACT • Sales Department • 01 40 68 17 17 • contact.clients.am@ofi-invest.com</t>
  </si>
  <si>
    <t>OFI INVEST ASSET MANAGEMENT</t>
  </si>
  <si>
    <t>OFI ESG EURO HIGH YIELD GI</t>
  </si>
  <si>
    <t>https://twitter.com/OfiInvestAM_Int</t>
  </si>
  <si>
    <t>Management fees and other administrative and operating expenses :</t>
  </si>
  <si>
    <t xml:space="preserve">              DEU                   AUT</t>
  </si>
  <si>
    <t>Source: OFI Invest AM</t>
  </si>
  <si>
    <t>Source: OFI Invest AM (ICB classification - Level 2)</t>
  </si>
  <si>
    <t>2024</t>
  </si>
  <si>
    <t>Telecommunications</t>
  </si>
  <si>
    <t>Health Care</t>
  </si>
  <si>
    <t>Consumer Products and Services</t>
  </si>
  <si>
    <t>Industrial Goods and Services</t>
  </si>
  <si>
    <t>Travel and Leisure</t>
  </si>
  <si>
    <t>Automobiles and Parts</t>
  </si>
  <si>
    <t>Utilities</t>
  </si>
  <si>
    <t>Real Estate</t>
  </si>
  <si>
    <t>Food, Beverage and Tobacco</t>
  </si>
  <si>
    <t>Technology</t>
  </si>
  <si>
    <t>Chemicals</t>
  </si>
  <si>
    <t>Retail</t>
  </si>
  <si>
    <t>Construction and Materials</t>
  </si>
  <si>
    <t>Financial Services</t>
  </si>
  <si>
    <t>Energy</t>
  </si>
  <si>
    <t>Basic Resources</t>
  </si>
  <si>
    <t>Media</t>
  </si>
  <si>
    <t>PoidsEngagement</t>
  </si>
  <si>
    <t>ICB_UK</t>
  </si>
  <si>
    <t>Répartition par Secteur</t>
  </si>
  <si>
    <t>Ofi Invest Euro High Yield GI</t>
  </si>
  <si>
    <t>France</t>
  </si>
  <si>
    <t>Germany</t>
  </si>
  <si>
    <t>Italy</t>
  </si>
  <si>
    <t>Spain</t>
  </si>
  <si>
    <t>United States</t>
  </si>
  <si>
    <t>United Kingdom</t>
  </si>
  <si>
    <t>Luxembourg</t>
  </si>
  <si>
    <t>Netherlands</t>
  </si>
  <si>
    <t>Sweden</t>
  </si>
  <si>
    <t>Czech Republic</t>
  </si>
  <si>
    <t>Canada</t>
  </si>
  <si>
    <t>Portugal</t>
  </si>
  <si>
    <t>Israel</t>
  </si>
  <si>
    <t>Ireland</t>
  </si>
  <si>
    <t>Poland</t>
  </si>
  <si>
    <t>Belgium</t>
  </si>
  <si>
    <t>Switzerland</t>
  </si>
  <si>
    <t>Australia</t>
  </si>
  <si>
    <t>South Africa</t>
  </si>
  <si>
    <t>Japan</t>
  </si>
  <si>
    <t>PaysUK</t>
  </si>
  <si>
    <t>Répartition par Pays</t>
  </si>
  <si>
    <t>% Poids Comptable</t>
  </si>
  <si>
    <t>Rating Compliance</t>
  </si>
  <si>
    <t>Répartition par Rating (Oblig/CDS/FRN)</t>
  </si>
  <si>
    <t>25 years and +</t>
  </si>
  <si>
    <t>7 - 10 years</t>
  </si>
  <si>
    <t>5 - 7 years</t>
  </si>
  <si>
    <t>3 - 5 years</t>
  </si>
  <si>
    <t>1 - 3 years</t>
  </si>
  <si>
    <t>Maturity Bucket LT</t>
  </si>
  <si>
    <t>Répartition par Maturité (Oblig/CDS/FRN)</t>
  </si>
  <si>
    <t>USD</t>
  </si>
  <si>
    <t>Currency</t>
  </si>
  <si>
    <t>Répartition par Devise (Oblig/CDS/FRN)</t>
  </si>
  <si>
    <t>Contrib WAL TOTAL</t>
  </si>
  <si>
    <t>Contrib WAM TOTAL</t>
  </si>
  <si>
    <t>Sensibilité Crédit</t>
  </si>
  <si>
    <t>Sensibilité Taux</t>
  </si>
  <si>
    <t>YtoW</t>
  </si>
  <si>
    <t>YtoM</t>
  </si>
  <si>
    <t>SPREAD MOY</t>
  </si>
  <si>
    <t>Mat Moyenne</t>
  </si>
  <si>
    <t>VALEUR</t>
  </si>
  <si>
    <t>Répartition par Rating ()</t>
  </si>
  <si>
    <t>ZF EUROPE FINANCE BV</t>
  </si>
  <si>
    <t>ZEGONA FINANCE PLC</t>
  </si>
  <si>
    <t>VZ VENDOR FINANCING II BV</t>
  </si>
  <si>
    <t>VZ SECURED FINANCING BV</t>
  </si>
  <si>
    <t>VOLVO CAR AB</t>
  </si>
  <si>
    <t>VOLKSWAGEN INTERNATIONAL FIN NV</t>
  </si>
  <si>
    <t>VODAFONE GROUP PLC</t>
  </si>
  <si>
    <t>VMED O2 UK FINANCING I PLC</t>
  </si>
  <si>
    <t>VF CORPORATION</t>
  </si>
  <si>
    <t>VERISURE MIDHOLDING AB</t>
  </si>
  <si>
    <t>VERISURE HOLDING AB</t>
  </si>
  <si>
    <t>VEOLIA ENVIRONNEMENT SA</t>
  </si>
  <si>
    <t>VALEO SE</t>
  </si>
  <si>
    <t>UNIBAIL-RODAMCO-WESTFIELD SE</t>
  </si>
  <si>
    <t>TVL FINANCE PLC</t>
  </si>
  <si>
    <t>TEVA PHARMACEUTICAL FINANCE NETHERLANDS II BV</t>
  </si>
  <si>
    <t>TEREOS FINANCE GROUPE I SA</t>
  </si>
  <si>
    <t>TENNET HOLDING BV</t>
  </si>
  <si>
    <t>TELEFONICA EURO BV</t>
  </si>
  <si>
    <t>TELECOM ITALIA SPA</t>
  </si>
  <si>
    <t>TEAMSYSTEM SPA</t>
  </si>
  <si>
    <t>SYNTHOMER PLC</t>
  </si>
  <si>
    <t>SUMMER BC HOLDCO B SARL</t>
  </si>
  <si>
    <t>SPIE SA</t>
  </si>
  <si>
    <t>SNF GROUP SA</t>
  </si>
  <si>
    <t>SILGAN HOLDINGS INC</t>
  </si>
  <si>
    <t>SES SA</t>
  </si>
  <si>
    <t>SECHE ENVIRONNEMENT SA</t>
  </si>
  <si>
    <t>SCHAEFFLER AG</t>
  </si>
  <si>
    <t>SAPPI PAPIER HOLDING GMBH</t>
  </si>
  <si>
    <t>SAMHALLSBYGGNADSBOLAGET I NORDEN HOLDING AB (PUBL)</t>
  </si>
  <si>
    <t>SAIPEM FINANCE INTERNATIONAL BV</t>
  </si>
  <si>
    <t>ROSSINI SARL</t>
  </si>
  <si>
    <t>ROQUETTE FRERES SA</t>
  </si>
  <si>
    <t>REKEEP SPA</t>
  </si>
  <si>
    <t>RAY FINANCING LLC</t>
  </si>
  <si>
    <t>PRYSMIAN SPA</t>
  </si>
  <si>
    <t>PRIMO WATER HOLDINGS INC</t>
  </si>
  <si>
    <t>PLT VII FINANCE SARL</t>
  </si>
  <si>
    <t>PLAYTECH PLC</t>
  </si>
  <si>
    <t>PINNACLE BIDCO PLC</t>
  </si>
  <si>
    <t>PICARD GROUPE SAS</t>
  </si>
  <si>
    <t>PERRIGO FINANCE UNLIMITED CO</t>
  </si>
  <si>
    <t>PEGASUS SATELLITE COMMUN INC.</t>
  </si>
  <si>
    <t>PAPREC HOLDING SA</t>
  </si>
  <si>
    <t>ORGANON &amp; CO / ORGANON FOREIGN DEBT CO-ISSUER BV</t>
  </si>
  <si>
    <t>ORANGE SA</t>
  </si>
  <si>
    <t>OPTICS BIDCO SPA</t>
  </si>
  <si>
    <t>OPAL BIDCO SAS</t>
  </si>
  <si>
    <t>OMNIA TECHNOLOGIES SPA</t>
  </si>
  <si>
    <t>OI EUROPEAN GROUP BV</t>
  </si>
  <si>
    <t>OEG FINANCE PLC</t>
  </si>
  <si>
    <t>ODIDO HOLDING BV</t>
  </si>
  <si>
    <t>ODIDO GROUP HOLDING BV</t>
  </si>
  <si>
    <t>NOMAD FOODS BONDCO PLC</t>
  </si>
  <si>
    <t>NISSAN MTR CO LTD</t>
  </si>
  <si>
    <t>NIDDA HEALTHCARE HOLDING GMBH</t>
  </si>
  <si>
    <t>NEOPHARMED GENTILI SPA</t>
  </si>
  <si>
    <t>NEINOR HOMES SA</t>
  </si>
  <si>
    <t>NATURGY FINANCE IBERIA SA</t>
  </si>
  <si>
    <t>MUNDYS SPA</t>
  </si>
  <si>
    <t>MAYA SAS</t>
  </si>
  <si>
    <t>MANUCHAR GROUP BV</t>
  </si>
  <si>
    <t>LUNA 25 SARL</t>
  </si>
  <si>
    <t>LOXAM SAS</t>
  </si>
  <si>
    <t>LOTTOMATICA SPA</t>
  </si>
  <si>
    <t>LOTTOMATICA GROUP SPA</t>
  </si>
  <si>
    <t>LORCA TELECOM BONDCO SAU</t>
  </si>
  <si>
    <t>LHMC FINCO 2 SARL</t>
  </si>
  <si>
    <t>LEVI STRAUSS &amp; CO</t>
  </si>
  <si>
    <t>KONINKLIJKE KPN NV</t>
  </si>
  <si>
    <t>KONINKLIJKE FRIESLANDCAMPINA NV</t>
  </si>
  <si>
    <t>KAPLA HOLDING SAS</t>
  </si>
  <si>
    <t>KAIXO BONDCO TELECOM SAU</t>
  </si>
  <si>
    <t>ITELYUM REGENERATION SPA</t>
  </si>
  <si>
    <t>ITALMATCH CHEMICALS SPA</t>
  </si>
  <si>
    <t>IQVIA INC</t>
  </si>
  <si>
    <t>IPD 3 BV</t>
  </si>
  <si>
    <t>INPOST SA</t>
  </si>
  <si>
    <t>INFINEON TECHNOLOGIES AG</t>
  </si>
  <si>
    <t>ILIAD SA</t>
  </si>
  <si>
    <t>IHO VERWALTUNGS GMBH</t>
  </si>
  <si>
    <t>HP PELZER HOLDING GMBH</t>
  </si>
  <si>
    <t>GUALA CLOSURES SPA</t>
  </si>
  <si>
    <t>GSG GROUP SA</t>
  </si>
  <si>
    <t>GRUPO ANTOLIN IRAUSA SA</t>
  </si>
  <si>
    <t>GRUENENTHAL GMBH</t>
  </si>
  <si>
    <t>Grifols SA</t>
  </si>
  <si>
    <t>GRIFOLS ESCROW ISSUER SAU</t>
  </si>
  <si>
    <t>GRAND CITY PROPERTIES SA</t>
  </si>
  <si>
    <t>GOLDSTORY SAS</t>
  </si>
  <si>
    <t>GETLINK SE</t>
  </si>
  <si>
    <t>FRESSNAPF HOLDING SE</t>
  </si>
  <si>
    <t>FORVIA SE</t>
  </si>
  <si>
    <t>FLUTTER TREASURY DAC</t>
  </si>
  <si>
    <t>FIBERCOP SPA</t>
  </si>
  <si>
    <t>EVONIK INDUSTRIES AG</t>
  </si>
  <si>
    <t>EUTELSAT</t>
  </si>
  <si>
    <t>EUROFINS SCIENTIFIC SE</t>
  </si>
  <si>
    <t>EPHIOS SUBCO 3 SARL</t>
  </si>
  <si>
    <t>ENGINEERING INGEGNERIA INFORMATICA SPA</t>
  </si>
  <si>
    <t>ENGIE SA</t>
  </si>
  <si>
    <t>ENERGIZER GAMMA ACQUISITION BV</t>
  </si>
  <si>
    <t>ENEL SPA</t>
  </si>
  <si>
    <t>EMERALD DEBT MERGER SUB LLC</t>
  </si>
  <si>
    <t>EIRCOM FINANCE DAC</t>
  </si>
  <si>
    <t>EG GLOBAL FINANCE PLC</t>
  </si>
  <si>
    <t>EDREAMS ODIGEO SA</t>
  </si>
  <si>
    <t>EDP SA</t>
  </si>
  <si>
    <t>EC Finance</t>
  </si>
  <si>
    <t>DYNAMO NEWCO II GMBH</t>
  </si>
  <si>
    <t>DUOMO BIDCO SPA</t>
  </si>
  <si>
    <t>DOMETIC GROUP AB (PUBL)</t>
  </si>
  <si>
    <t>DOLCETTO HOLDCO SPA</t>
  </si>
  <si>
    <t>DEUTSCHE LUFTHANSA AG</t>
  </si>
  <si>
    <t>CURRENTA GROUP HOLDINGS SARL</t>
  </si>
  <si>
    <t>CT INVESTMENT GMBH</t>
  </si>
  <si>
    <t>COTY INC</t>
  </si>
  <si>
    <t>CONSTELLIUM SE</t>
  </si>
  <si>
    <t>CLARIOS US FINANCE COMPANY INC</t>
  </si>
  <si>
    <t>CIRSA FINANCE INTERNATIONAL SARL</t>
  </si>
  <si>
    <t>CIDRON AIDA FINCO SARL</t>
  </si>
  <si>
    <t>CHEPLAPHARM ARZNEIMITTEL GMBH</t>
  </si>
  <si>
    <t>CESAR SPA</t>
  </si>
  <si>
    <t>CELANESE US HOLDINGS LLC</t>
  </si>
  <si>
    <t>Castellum</t>
  </si>
  <si>
    <t>CANPACK SA</t>
  </si>
  <si>
    <t>BRITISH TELECOMMUNICATIONS PLC</t>
  </si>
  <si>
    <t>BOOTS GROUP FINCO LP</t>
  </si>
  <si>
    <t>BOELS TOPHOLDING BV</t>
  </si>
  <si>
    <t>BEACH ACQUISITION BIDCO LLC</t>
  </si>
  <si>
    <t>AZELIS FINANCE NV</t>
  </si>
  <si>
    <t>AVIS BUDGET FINANCE PLC</t>
  </si>
  <si>
    <t>AVANTOR FUNDING INC</t>
  </si>
  <si>
    <t>ATLANTICA SUSTAINABLE INFRASTRUCTURE PLC</t>
  </si>
  <si>
    <t>ASMODEE GROUP AB</t>
  </si>
  <si>
    <t>ASHLAND SERVICES BV</t>
  </si>
  <si>
    <t>AROUNDTOWN FINANCE SARL</t>
  </si>
  <si>
    <t>ARKEMA SA</t>
  </si>
  <si>
    <t>ARENA LUXEMBOURG FINANCE SARL</t>
  </si>
  <si>
    <t>ARAMARK INTERNATIONAL FINANCE SARL</t>
  </si>
  <si>
    <t>APCOA GROUP GMBH</t>
  </si>
  <si>
    <t>APA INFRASTRUCTURE LTD</t>
  </si>
  <si>
    <t>AMBER FINCO PLC</t>
  </si>
  <si>
    <t>ALTICE FRANCE SA (FRANCE)</t>
  </si>
  <si>
    <t>ALTAREA SCA</t>
  </si>
  <si>
    <t>ALSTRIA OFFICE AG</t>
  </si>
  <si>
    <t>ALSTOM SA</t>
  </si>
  <si>
    <t>ALMAVIVA THE ITALIAN INNOVATION COMPANY SPA</t>
  </si>
  <si>
    <t>ALLWYN ENTERTAINMENT FINANCING (UK) PLC</t>
  </si>
  <si>
    <t>ALEXANDRITE MONNET UK HOLDCO PLC</t>
  </si>
  <si>
    <t>ALEXANDRITE LAKE LUX HOLDINGS SARL</t>
  </si>
  <si>
    <t>ALBION FINANCING 1 SARL</t>
  </si>
  <si>
    <t>AIR France-KLM</t>
  </si>
  <si>
    <t>ADECCO INTERNATIONAL FINANCIAL SERVICES BV</t>
  </si>
  <si>
    <t>ABERTIS INFRAESTRUCTURAS FINANCE BV</t>
  </si>
  <si>
    <t>Ultimate Parent Company</t>
  </si>
  <si>
    <t xml:space="preserve">Principaux Emetteurs </t>
  </si>
  <si>
    <t>2025</t>
  </si>
  <si>
    <t>Trésorerie</t>
  </si>
  <si>
    <t>Ofi Invest ESG Liquidités PART C/D</t>
  </si>
  <si>
    <t>FR0000008997</t>
  </si>
  <si>
    <t>OPCVM</t>
  </si>
  <si>
    <t>[5Y, 7Y[</t>
  </si>
  <si>
    <t>2031/11/05</t>
  </si>
  <si>
    <t>Technologie</t>
  </si>
  <si>
    <t>EMEA</t>
  </si>
  <si>
    <t>Italie</t>
  </si>
  <si>
    <t>OMNIA DELLA TOFFOLA SPA 05/11/2031</t>
  </si>
  <si>
    <t>XS2930112730</t>
  </si>
  <si>
    <t>FRN</t>
  </si>
  <si>
    <t>Obligations</t>
  </si>
  <si>
    <t>2031/07/31</t>
  </si>
  <si>
    <t>TEAMSYSTEM SPA 31/07/2031</t>
  </si>
  <si>
    <t>XS2864287466</t>
  </si>
  <si>
    <t>2031/07/15</t>
  </si>
  <si>
    <t>Produits et services de consommation</t>
  </si>
  <si>
    <t>DUOMO BIDCO SPA 15/07/2031</t>
  </si>
  <si>
    <t>XS2856819102</t>
  </si>
  <si>
    <t>[3Y, 5Y[</t>
  </si>
  <si>
    <t>2030/06/30</t>
  </si>
  <si>
    <t>Voyages et loisirs</t>
  </si>
  <si>
    <t>Royaume-Uni</t>
  </si>
  <si>
    <t>TVL FINANCE PLC 30/06/2030</t>
  </si>
  <si>
    <t>XS2845183495</t>
  </si>
  <si>
    <t>2031/06/15</t>
  </si>
  <si>
    <t>IPD 3 BV 15/06/2031</t>
  </si>
  <si>
    <t>XS2844404710</t>
  </si>
  <si>
    <t>2030/07/31</t>
  </si>
  <si>
    <t>KAPLA HOLDING SAS 31/07/2030</t>
  </si>
  <si>
    <t>XS2756269960</t>
  </si>
  <si>
    <t>2032/07/07</t>
  </si>
  <si>
    <t>Vente au détail</t>
  </si>
  <si>
    <t>Belgique</t>
  </si>
  <si>
    <t>MANUCHAR GROUP BV 07/07/2032</t>
  </si>
  <si>
    <t>BE6365823044</t>
  </si>
  <si>
    <t>[7Y, 10Y[</t>
  </si>
  <si>
    <t>2032/08/31</t>
  </si>
  <si>
    <t>Services financiers</t>
  </si>
  <si>
    <t>Amérique du Nord</t>
  </si>
  <si>
    <t>Etats-Unis</t>
  </si>
  <si>
    <t>BOOTS GROUP FINCO LP 5.375 31/08/2032</t>
  </si>
  <si>
    <t>XS3134602070</t>
  </si>
  <si>
    <t>BOND</t>
  </si>
  <si>
    <t>2031/02/15</t>
  </si>
  <si>
    <t>République Tchèque</t>
  </si>
  <si>
    <t>ALLWYN ENTERTAINMENT FINANCING (UK 4.125 15/02/2031</t>
  </si>
  <si>
    <t>XS3134529562</t>
  </si>
  <si>
    <t>2030/08/15</t>
  </si>
  <si>
    <t>LEVI STRAUSS &amp; CO 4 15/08/2030</t>
  </si>
  <si>
    <t>XS3124322424</t>
  </si>
  <si>
    <t>2032/07/15</t>
  </si>
  <si>
    <t>Services aux collectivités</t>
  </si>
  <si>
    <t>PAPREC HOLDING SA 4.5 15/07/2032</t>
  </si>
  <si>
    <t>XS3111831254</t>
  </si>
  <si>
    <t>Suède</t>
  </si>
  <si>
    <t>BEACH ACQUISITION BIDCO LLC 5.25 15/07/2032</t>
  </si>
  <si>
    <t>XS3109433048</t>
  </si>
  <si>
    <t>2032/07/14</t>
  </si>
  <si>
    <t>Santé</t>
  </si>
  <si>
    <t>DOLCETTO HOLDCO SPA 5.625 14/07/2032</t>
  </si>
  <si>
    <t>XS3106724241</t>
  </si>
  <si>
    <t>2032/06/30</t>
  </si>
  <si>
    <t>FIBERCOP SPA 5.125 30/06/2032</t>
  </si>
  <si>
    <t>XS3104481414</t>
  </si>
  <si>
    <t>2030/07/30</t>
  </si>
  <si>
    <t>ALEXANDRITE LAKE LUX HOLDINGS SARL 6.75 30/07/2030</t>
  </si>
  <si>
    <t>XS3104473312</t>
  </si>
  <si>
    <t>2031/07/01</t>
  </si>
  <si>
    <t>TEAMSYSTEM SPA 5 01/07/2031</t>
  </si>
  <si>
    <t>XS3101363011</t>
  </si>
  <si>
    <t>2032/07/01</t>
  </si>
  <si>
    <t>LUNA 25 SARL 5.5 01/07/2032</t>
  </si>
  <si>
    <t>XS3100795452</t>
  </si>
  <si>
    <t>2033/06/24</t>
  </si>
  <si>
    <t>Télécommunications</t>
  </si>
  <si>
    <t>SES SA 4.875 24/06/2033</t>
  </si>
  <si>
    <t>XS3100773996</t>
  </si>
  <si>
    <t>2030/12/30</t>
  </si>
  <si>
    <t>Espagne</t>
  </si>
  <si>
    <t>EDREAMS ODIGEO SA 4.875 30/12/2030</t>
  </si>
  <si>
    <t>XS3091931058</t>
  </si>
  <si>
    <t>2030/06/12</t>
  </si>
  <si>
    <t>Automobiles et pièces</t>
  </si>
  <si>
    <t>Allemagne</t>
  </si>
  <si>
    <t>ZF EUROPE FINANCE BV 7 12/06/2030</t>
  </si>
  <si>
    <t>XS3091660194</t>
  </si>
  <si>
    <t>CLARIOS US FINANCE COMPANY INC 4.75 15/06/2031</t>
  </si>
  <si>
    <t>XS3091295801</t>
  </si>
  <si>
    <t>2031/06/01</t>
  </si>
  <si>
    <t>Moyen-Orient</t>
  </si>
  <si>
    <t>Israël</t>
  </si>
  <si>
    <t>TEVA PHARMACEUTICAL FINANCE NETHER 4.125 01/06/2031</t>
  </si>
  <si>
    <t>XS3081797964</t>
  </si>
  <si>
    <t>[25Y, ++[</t>
  </si>
  <si>
    <t>2079/12/31</t>
  </si>
  <si>
    <t>Biens et services industriels</t>
  </si>
  <si>
    <t>PRYSMIAN SPA PERP</t>
  </si>
  <si>
    <t>XS3076304602</t>
  </si>
  <si>
    <t>IPD 3 BV 5.5 15/06/2031</t>
  </si>
  <si>
    <t>XS3067907140</t>
  </si>
  <si>
    <t>2030/05/15</t>
  </si>
  <si>
    <t>CURRENTA GROUP HOLDINGS SARL 5.5 15/05/2030</t>
  </si>
  <si>
    <t>XS3067385420</t>
  </si>
  <si>
    <t>2030/05/21</t>
  </si>
  <si>
    <t>ALBION FINANCING 1 SARL 5.375 21/05/2030</t>
  </si>
  <si>
    <t>XS3066681704</t>
  </si>
  <si>
    <t>2031/06/04</t>
  </si>
  <si>
    <t>Irlande</t>
  </si>
  <si>
    <t>FLUTTER TREASURY DAC 4 04/06/2031</t>
  </si>
  <si>
    <t>XS3049816013</t>
  </si>
  <si>
    <t>LHMC FINCO 2 SARL 8.625 15/05/2030</t>
  </si>
  <si>
    <t>XS3049411971</t>
  </si>
  <si>
    <t>2031/01/31</t>
  </si>
  <si>
    <t>LOTTOMATICA GROUP SPA 4.875 31/01/2031</t>
  </si>
  <si>
    <t>XS3047452316</t>
  </si>
  <si>
    <t>2031/10/27</t>
  </si>
  <si>
    <t>CIDRON AIDA FINCO SARL 7 27/10/2031</t>
  </si>
  <si>
    <t>XS3046352319</t>
  </si>
  <si>
    <t>2030/04/15</t>
  </si>
  <si>
    <t>Produits chimiques</t>
  </si>
  <si>
    <t>ITELYUM REGENERATION SPA 5.75 15/04/2030</t>
  </si>
  <si>
    <t>XS3041347637</t>
  </si>
  <si>
    <t>2032/03/31</t>
  </si>
  <si>
    <t>OPAL BIDCO SAS 5.5 31/03/2032</t>
  </si>
  <si>
    <t>XS3037643304</t>
  </si>
  <si>
    <t>2031/04/30</t>
  </si>
  <si>
    <t>EIRCOM FINANCE DAC 5 30/04/2031</t>
  </si>
  <si>
    <t>XS3028067729</t>
  </si>
  <si>
    <t>2031/03/20</t>
  </si>
  <si>
    <t>Immobilier</t>
  </si>
  <si>
    <t>ALSTRIA OFFICE REIT-AG 5.5 20/03/2031</t>
  </si>
  <si>
    <t>XS3025437982</t>
  </si>
  <si>
    <t>2031/04/15</t>
  </si>
  <si>
    <t>CELANESE US HOLDINGS LLC 5 15/04/2031</t>
  </si>
  <si>
    <t>XS3023780375</t>
  </si>
  <si>
    <t>2033/04/15</t>
  </si>
  <si>
    <t>ARAMARK INTERNATIONAL FINANCE SARL 4.375 15/04/2033</t>
  </si>
  <si>
    <t>XS3023482436</t>
  </si>
  <si>
    <t>2032/03/15</t>
  </si>
  <si>
    <t>SNF GROUP SA 4.5 15/03/2032</t>
  </si>
  <si>
    <t>XS3021201887</t>
  </si>
  <si>
    <t>Ressources de base</t>
  </si>
  <si>
    <t>Afrique du Sud</t>
  </si>
  <si>
    <t>SAPPI PAPIER HOLDING GMBH 4.5 15/03/2032</t>
  </si>
  <si>
    <t>XS3017017990</t>
  </si>
  <si>
    <t>2029/09/15</t>
  </si>
  <si>
    <t>REKEEP SPA 9 15/09/2029</t>
  </si>
  <si>
    <t>XS3005193183</t>
  </si>
  <si>
    <t>2028/10/12</t>
  </si>
  <si>
    <t>Aliments, boissons et tabac</t>
  </si>
  <si>
    <t>PRIMO WATER HOLDINGS INC 3.875 12/10/2028</t>
  </si>
  <si>
    <t>XS3004167642</t>
  </si>
  <si>
    <t>2029/07/17</t>
  </si>
  <si>
    <t>Japon</t>
  </si>
  <si>
    <t>NISSAN MOTOR CO LTD 5.25 17/07/2029</t>
  </si>
  <si>
    <t>XS2999659704</t>
  </si>
  <si>
    <t>2030/02/15</t>
  </si>
  <si>
    <t>Médias</t>
  </si>
  <si>
    <t>SUMMER BC HOLDCO B SARL 5.875 15/02/2030</t>
  </si>
  <si>
    <t>XS2998755040</t>
  </si>
  <si>
    <t>ENGINEERING INGEGNERIA INFORMATICA 8.625 15/02/2030</t>
  </si>
  <si>
    <t>XS2988687682</t>
  </si>
  <si>
    <t>KAPLA HOLDING SAS 5 30/04/2031</t>
  </si>
  <si>
    <t>XS2971567560</t>
  </si>
  <si>
    <t>2055/01/15</t>
  </si>
  <si>
    <t>DEUTSCHE LUFTHANSA AG 15/01/2055</t>
  </si>
  <si>
    <t>XS2965681633</t>
  </si>
  <si>
    <t>2029/09/26</t>
  </si>
  <si>
    <t>SAMHALLSBYGGNADSBOLAGET I NORDEN H 1.125 26/09/2029</t>
  </si>
  <si>
    <t>XS2962827072</t>
  </si>
  <si>
    <t>2030/05/01</t>
  </si>
  <si>
    <t>GRIFOLS SA 7.125 01/05/2030</t>
  </si>
  <si>
    <t>XS2961445090</t>
  </si>
  <si>
    <t>2029/12/15</t>
  </si>
  <si>
    <t>ASMODEE GROUP AB 5.75 15/12/2029</t>
  </si>
  <si>
    <t>XS2954187378</t>
  </si>
  <si>
    <t>Construction et matériaux</t>
  </si>
  <si>
    <t>ABERTIS INFRAESTRUCTURAS FINANCE B PERP</t>
  </si>
  <si>
    <t>XS2937255193</t>
  </si>
  <si>
    <t>GETLINK SE 4.125 15/04/2030</t>
  </si>
  <si>
    <t>XS2937174196</t>
  </si>
  <si>
    <t>NEINOR HOMES SA 5.875 15/02/2030</t>
  </si>
  <si>
    <t>XS2933536034</t>
  </si>
  <si>
    <t>2032/02/15</t>
  </si>
  <si>
    <t>CALIFORNIA BUYER LTD 5.625 15/02/2032</t>
  </si>
  <si>
    <t>XS2929941503</t>
  </si>
  <si>
    <t>2030/10/30</t>
  </si>
  <si>
    <t>ALMAVIVA THE ITALIAN INNOVATION CO 5 30/10/2030</t>
  </si>
  <si>
    <t>XS2927492798</t>
  </si>
  <si>
    <t>2030/02/21</t>
  </si>
  <si>
    <t>NIDDA HEALTHCARE HOLDING GMBH 5.625 21/02/2030</t>
  </si>
  <si>
    <t>XS2920589699</t>
  </si>
  <si>
    <t>Pays-Bas</t>
  </si>
  <si>
    <t>KONINKLIJKE FRIESLANDCAMPINA NV PERP</t>
  </si>
  <si>
    <t>XS2913056797</t>
  </si>
  <si>
    <t>APCOA GROUP GMBH 6 15/04/2031</t>
  </si>
  <si>
    <t>XS2911131253</t>
  </si>
  <si>
    <t>2031/10/31</t>
  </si>
  <si>
    <t>FRESSNAPF HOLDING SE 5.25 31/10/2031</t>
  </si>
  <si>
    <t>XS2910536452</t>
  </si>
  <si>
    <t>2031/10/15</t>
  </si>
  <si>
    <t>DYNAMO NEWCO II GMBH 6.25 15/10/2031</t>
  </si>
  <si>
    <t>XS2910523716</t>
  </si>
  <si>
    <t>2029/09/27</t>
  </si>
  <si>
    <t>Energie</t>
  </si>
  <si>
    <t>OEG FINANCE PLC 7.25 27/09/2029</t>
  </si>
  <si>
    <t>XS2906227785</t>
  </si>
  <si>
    <t>2029/11/15</t>
  </si>
  <si>
    <t>IHO VERWALTUNGS GMBH 6.75 15/11/2029</t>
  </si>
  <si>
    <t>XS2905386962</t>
  </si>
  <si>
    <t>2032/01/27</t>
  </si>
  <si>
    <t>CPI PROPERTY GROUP SA 6 27/01/2032</t>
  </si>
  <si>
    <t>XS2904791774</t>
  </si>
  <si>
    <t>2031/09/30</t>
  </si>
  <si>
    <t>CESAR SPA 6.5 30/09/2031</t>
  </si>
  <si>
    <t>XS2904660755</t>
  </si>
  <si>
    <t>2032/09/30</t>
  </si>
  <si>
    <t>PERRIGO FINANCE UNLIMITED CO 5.375 30/09/2032</t>
  </si>
  <si>
    <t>XS2903463987</t>
  </si>
  <si>
    <t>2054/09/12</t>
  </si>
  <si>
    <t>SES SA 12/09/2054</t>
  </si>
  <si>
    <t>XS2899636935</t>
  </si>
  <si>
    <t>2030/03/25</t>
  </si>
  <si>
    <t>SECHE ENVIRONNEMENT SA 4.5 25/03/2030</t>
  </si>
  <si>
    <t>XS2895496680</t>
  </si>
  <si>
    <t>2030/01/30</t>
  </si>
  <si>
    <t>GRUPO ANTOLIN IRAUSA SA 10.375 30/01/2030</t>
  </si>
  <si>
    <t>XS2867238532</t>
  </si>
  <si>
    <t>2030/01/24</t>
  </si>
  <si>
    <t>MUNDYS SPA 4.5 24/01/2030</t>
  </si>
  <si>
    <t>XS2864439158</t>
  </si>
  <si>
    <t>2029/07/15</t>
  </si>
  <si>
    <t>ZEGONA FINANCE PLC 6.75 15/07/2029</t>
  </si>
  <si>
    <t>XS2859406139</t>
  </si>
  <si>
    <t>AMBER FINCO PLC 6.625 15/07/2029</t>
  </si>
  <si>
    <t>XS2857868942</t>
  </si>
  <si>
    <t>2029/12/31</t>
  </si>
  <si>
    <t>ROSSINI SARL 6.75 31/12/2029</t>
  </si>
  <si>
    <t>XS2854303729</t>
  </si>
  <si>
    <t>RAY FINANCING LLC 6.5 15/07/2031</t>
  </si>
  <si>
    <t>XS2854277626</t>
  </si>
  <si>
    <t>2029/07/01</t>
  </si>
  <si>
    <t>PICARD GROUPE SAS 6.375 01/07/2029</t>
  </si>
  <si>
    <t>XS2852970016</t>
  </si>
  <si>
    <t>PLT VII FINANCE SARL 6 15/06/2031</t>
  </si>
  <si>
    <t>XS2834242435</t>
  </si>
  <si>
    <t>2030/05/30</t>
  </si>
  <si>
    <t>SAIPEM FINANCE INTERNATIONAL BV 4.875 30/05/2030</t>
  </si>
  <si>
    <t>XS2826718087</t>
  </si>
  <si>
    <t>2029/06/01</t>
  </si>
  <si>
    <t>OI EUROPEAN GROUP BV 5.25 01/06/2029</t>
  </si>
  <si>
    <t>XS2825597656</t>
  </si>
  <si>
    <t>KONINKLIJKE KPN NV PERP</t>
  </si>
  <si>
    <t>XS2824778075</t>
  </si>
  <si>
    <t>2030/06/01</t>
  </si>
  <si>
    <t>LOTTOMATICA SPA 5.375 01/06/2030</t>
  </si>
  <si>
    <t>XS2824643220</t>
  </si>
  <si>
    <t>2030/05/08</t>
  </si>
  <si>
    <t>VOLVO CAR AB 4.75 08/05/2030</t>
  </si>
  <si>
    <t>XS2811097075</t>
  </si>
  <si>
    <t>ILIAD HOLDING SAS 6.875 15/04/2031</t>
  </si>
  <si>
    <t>XS2810807094</t>
  </si>
  <si>
    <t>BOELS TOPHOLDING BV 5.75 15/05/2030</t>
  </si>
  <si>
    <t>XS2806449190</t>
  </si>
  <si>
    <t>2029/05/02</t>
  </si>
  <si>
    <t>SYNTHOMER PLC 7.375 02/05/2029</t>
  </si>
  <si>
    <t>XS2805249641</t>
  </si>
  <si>
    <t>[1Y, 3Y[</t>
  </si>
  <si>
    <t>2028/07/31</t>
  </si>
  <si>
    <t>OPTICS BIDCO SPA 7.875 31/07/2028</t>
  </si>
  <si>
    <t>XS2804500812</t>
  </si>
  <si>
    <t>2028/02/15</t>
  </si>
  <si>
    <t>OPTICS BIDCO SPA 6.875 15/02/2028</t>
  </si>
  <si>
    <t>XS2804500572</t>
  </si>
  <si>
    <t>2033/01/24</t>
  </si>
  <si>
    <t>OPTICS BIDCO SPA 7.75 24/01/2033</t>
  </si>
  <si>
    <t>XS2804497506</t>
  </si>
  <si>
    <t>2029/05/15</t>
  </si>
  <si>
    <t>ALEXANDRITE MONNET UK HOLDCO PLC 10.5 15/05/2029</t>
  </si>
  <si>
    <t>XS2800001914</t>
  </si>
  <si>
    <t>AROUNDTOWN FINANCE SARL PERP</t>
  </si>
  <si>
    <t>XS2799493825</t>
  </si>
  <si>
    <t>2030/04/08</t>
  </si>
  <si>
    <t>NEOPHARMED GENTILI SPA 7.125 08/04/2030</t>
  </si>
  <si>
    <t>XS2797353401</t>
  </si>
  <si>
    <t>2029/04/13</t>
  </si>
  <si>
    <t>EUTELSAT SA 9.75 13/04/2029</t>
  </si>
  <si>
    <t>XS2796660384</t>
  </si>
  <si>
    <t>2032/04/15</t>
  </si>
  <si>
    <t>VMED O2 UK FINANCING I PLC 5.625 15/04/2032</t>
  </si>
  <si>
    <t>XS2796600307</t>
  </si>
  <si>
    <t>2054/10/03</t>
  </si>
  <si>
    <t>BRITISH TELECOMMUNICATIONS PLC 03/10/2054</t>
  </si>
  <si>
    <t>XS2794589403</t>
  </si>
  <si>
    <t>CT INVESTMENT GMBH 6.375 15/04/2030</t>
  </si>
  <si>
    <t>XS2792575453</t>
  </si>
  <si>
    <t>TENNET HOLDING BV PERP</t>
  </si>
  <si>
    <t>XS2783649176</t>
  </si>
  <si>
    <t>ENEL SPA PERP</t>
  </si>
  <si>
    <t>XS2770512064</t>
  </si>
  <si>
    <t>2029/02/28</t>
  </si>
  <si>
    <t>AVIS BUDGET FINANCE PLC 7 28/02/2029</t>
  </si>
  <si>
    <t>XS2769426623</t>
  </si>
  <si>
    <t>2030/02/01</t>
  </si>
  <si>
    <t>GOLDSTORY SAS 6.75 01/02/2030</t>
  </si>
  <si>
    <t>XS2761223127</t>
  </si>
  <si>
    <t>2029/03/15</t>
  </si>
  <si>
    <t>CIRSA FINANCE INTERNATIONAL SARL 6.5 15/03/2029</t>
  </si>
  <si>
    <t>XS2760863329</t>
  </si>
  <si>
    <t>TELEFONICA EUROPE BV PERP</t>
  </si>
  <si>
    <t>XS2755535577</t>
  </si>
  <si>
    <t>EPHIOS SUBCO 3 SARL 7.875 31/01/2031</t>
  </si>
  <si>
    <t>XS2734938249</t>
  </si>
  <si>
    <t>2029/05/31</t>
  </si>
  <si>
    <t>LOXAM SAS 6.375 31/05/2029</t>
  </si>
  <si>
    <t>XS2732357525</t>
  </si>
  <si>
    <t>2028/11/30</t>
  </si>
  <si>
    <t>EG GLOBAL FINANCE PLC 11 30/11/2028</t>
  </si>
  <si>
    <t>XS2719998952</t>
  </si>
  <si>
    <t>2083/11/09</t>
  </si>
  <si>
    <t>Océanie</t>
  </si>
  <si>
    <t>Australie</t>
  </si>
  <si>
    <t>APA INFRASTRUCTURE LTD 09/11/2083</t>
  </si>
  <si>
    <t>XS2711801287</t>
  </si>
  <si>
    <t>2028/10/11</t>
  </si>
  <si>
    <t>PINNACLE BIDCO PLC 8.25 11/10/2028</t>
  </si>
  <si>
    <t>XS2696090286</t>
  </si>
  <si>
    <t>2028/09/15</t>
  </si>
  <si>
    <t>COTY INC 5.75 15/09/2028</t>
  </si>
  <si>
    <t>XS2688529135</t>
  </si>
  <si>
    <t>AVIS BUDGET FINANCE PLC 7.25 31/07/2030</t>
  </si>
  <si>
    <t>XS2648489388</t>
  </si>
  <si>
    <t>2028/06/28</t>
  </si>
  <si>
    <t>PLAYTECH PLC 5.875 28/06/2028</t>
  </si>
  <si>
    <t>XS2641928036</t>
  </si>
  <si>
    <t>TELECOM ITALIA SPA 7.875 31/07/2028</t>
  </si>
  <si>
    <t>XS2637954582</t>
  </si>
  <si>
    <t>2027/04/01</t>
  </si>
  <si>
    <t>ADLER PELZER HOLDING GMBH 9.5 01/04/2027</t>
  </si>
  <si>
    <t>XS2623604233</t>
  </si>
  <si>
    <t>2030/12/15</t>
  </si>
  <si>
    <t>EMERALD DEBT MERGER SUB LLC 6.375 15/12/2030</t>
  </si>
  <si>
    <t>XS2621830681</t>
  </si>
  <si>
    <t>CHEPLAPHARM ARZNEIMITTEL GMBH 7.5 15/05/2030</t>
  </si>
  <si>
    <t>XS2618867159</t>
  </si>
  <si>
    <t>2030/04/30</t>
  </si>
  <si>
    <t>ALLWYN ENTERTAINMENT FINANCING (UK 7.25 30/04/2030</t>
  </si>
  <si>
    <t>XS2615937187</t>
  </si>
  <si>
    <t>GRUENENTHAL GMBH 6.75 15/05/2030</t>
  </si>
  <si>
    <t>XS2615562274</t>
  </si>
  <si>
    <t>TEVA PHARMACEUTICAL FINANCE NETHER 7.375 15/09/2029</t>
  </si>
  <si>
    <t>XS2592804434</t>
  </si>
  <si>
    <t>2028/02/06</t>
  </si>
  <si>
    <t>ITALMATCH CHEMICALS SPA 10 06/02/2028</t>
  </si>
  <si>
    <t>XS2582788100</t>
  </si>
  <si>
    <t>2028/02/01</t>
  </si>
  <si>
    <t>VERISURE HOLDING AB 7.125 01/02/2028</t>
  </si>
  <si>
    <t>XS2581647091</t>
  </si>
  <si>
    <t>ENEL SPA NC8.5 PERP</t>
  </si>
  <si>
    <t>XS2576550243</t>
  </si>
  <si>
    <t>2027/11/30</t>
  </si>
  <si>
    <t>CIRSA FINANCE INTERNATIONAL SARL 10.375 30/11/2027</t>
  </si>
  <si>
    <t>XS2550380104</t>
  </si>
  <si>
    <t>2028/04/15</t>
  </si>
  <si>
    <t>TEREOS FINANCE GROUPE I SA 7.25 15/04/2028</t>
  </si>
  <si>
    <t>XS2532478430</t>
  </si>
  <si>
    <t>XS2462605671</t>
  </si>
  <si>
    <t>2032/01/15</t>
  </si>
  <si>
    <t>VZ SECURED FINANCING BV 3.5 15/01/2032</t>
  </si>
  <si>
    <t>XS2431015655</t>
  </si>
  <si>
    <t>2030/01/15</t>
  </si>
  <si>
    <t>WP/AP TELECOM HOLDINGS 5.5 15/01/2030</t>
  </si>
  <si>
    <t>XS2417092132</t>
  </si>
  <si>
    <t>2029/01/15</t>
  </si>
  <si>
    <t>WP/AP TELECOM HOLDINGS IV BV 3.75 15/01/2029</t>
  </si>
  <si>
    <t>XS2417090789</t>
  </si>
  <si>
    <t>XS2410367747</t>
  </si>
  <si>
    <t>NATURGY FINANCE BV PERP</t>
  </si>
  <si>
    <t>XS2406737036</t>
  </si>
  <si>
    <t>2030/05/09</t>
  </si>
  <si>
    <t>TEVA PHARMACEUTICAL FINANCE NETHER 4.375 09/05/2030</t>
  </si>
  <si>
    <t>XS2406607171</t>
  </si>
  <si>
    <t>2029/09/30</t>
  </si>
  <si>
    <t>KAIXO BONDCO TELECOM SAU 5.125 30/09/2029</t>
  </si>
  <si>
    <t>XS2397198487</t>
  </si>
  <si>
    <t>2028/10/15</t>
  </si>
  <si>
    <t>GRIFOLS ESCROW ISSUER SAU 3.875 15/10/2028</t>
  </si>
  <si>
    <t>XS2393001891</t>
  </si>
  <si>
    <t>2028/09/29</t>
  </si>
  <si>
    <t>DOMETIC GROUP AB (PUBL) 2 29/09/2028</t>
  </si>
  <si>
    <t>XS2391403354</t>
  </si>
  <si>
    <t>2029/10/15</t>
  </si>
  <si>
    <t>ALTICE FRANCE SA (FRANCE) 4.25 15/10/2029</t>
  </si>
  <si>
    <t>XS2390152986</t>
  </si>
  <si>
    <t>2026/10/15</t>
  </si>
  <si>
    <t>EC FINANCE PLC 3 15/10/2026</t>
  </si>
  <si>
    <t>XS2389984175</t>
  </si>
  <si>
    <t>2027/03/15</t>
  </si>
  <si>
    <t>CIRSA FINANCE INTERNATIONAL SARL 4.5 15/03/2027</t>
  </si>
  <si>
    <t>XS2388186996</t>
  </si>
  <si>
    <t>2082/03/21</t>
  </si>
  <si>
    <t>Suisse</t>
  </si>
  <si>
    <t>ADECCO INTERNATIONAL FINANCIAL SER 21/03/2082</t>
  </si>
  <si>
    <t>XS2388141892</t>
  </si>
  <si>
    <t>CASTELLUM AB PERP</t>
  </si>
  <si>
    <t>XS2380124227</t>
  </si>
  <si>
    <t>2028/06/15</t>
  </si>
  <si>
    <t>GUALA CLOSURES SPA 3.25 15/06/2028</t>
  </si>
  <si>
    <t>XS2357812556</t>
  </si>
  <si>
    <t>2028/06/24</t>
  </si>
  <si>
    <t>NOMAD FOODS BONDCO PLC 2.5 24/06/2028</t>
  </si>
  <si>
    <t>XS2355604880</t>
  </si>
  <si>
    <t>2029/06/30</t>
  </si>
  <si>
    <t>ENERGIZER GAMMA ACQUISITION BV 3.5 30/06/2029</t>
  </si>
  <si>
    <t>XS2353416386</t>
  </si>
  <si>
    <t>VOLKSWAGEN INTERNATIONAL FIN PNC9 PERP</t>
  </si>
  <si>
    <t>XS2342732646</t>
  </si>
  <si>
    <t>2028/05/15</t>
  </si>
  <si>
    <t>GRUENENTHAL GMBH 4.125 15/05/2028</t>
  </si>
  <si>
    <t>XS2337703537</t>
  </si>
  <si>
    <t>CONSTELLIUM SE (FRANCE) 3.125 15/07/2029</t>
  </si>
  <si>
    <t>XS2335148024</t>
  </si>
  <si>
    <t>2028/04/30</t>
  </si>
  <si>
    <t>ORGANON &amp; CO/ORG 2.875 30/04/2028</t>
  </si>
  <si>
    <t>XS2332250708</t>
  </si>
  <si>
    <t>IQVIA INC 2.25 15/03/2029</t>
  </si>
  <si>
    <t>XS2305744059</t>
  </si>
  <si>
    <t>XS2293060658</t>
  </si>
  <si>
    <t>CPI PROPERTY GROUP SA PERP</t>
  </si>
  <si>
    <t>XS2290533020</t>
  </si>
  <si>
    <t>2027/02/15</t>
  </si>
  <si>
    <t>VERISURE HOLDING AB 3.25 15/02/2027</t>
  </si>
  <si>
    <t>XS2289588837</t>
  </si>
  <si>
    <t>2029/02/15</t>
  </si>
  <si>
    <t>VERISURE MIDHOLDING AB 5.25 15/02/2029</t>
  </si>
  <si>
    <t>XS2287912450</t>
  </si>
  <si>
    <t>VZ VENDOR FINANCING II BV 2.875 15/01/2029</t>
  </si>
  <si>
    <t>XS2272845798</t>
  </si>
  <si>
    <t>GRAND CITY PROPERTIES SA PERP</t>
  </si>
  <si>
    <t>XS2271225281</t>
  </si>
  <si>
    <t>2027/11/01</t>
  </si>
  <si>
    <t>Pologne</t>
  </si>
  <si>
    <t>CANPACK SA 2.375 01/11/2027</t>
  </si>
  <si>
    <t>XS2247616514</t>
  </si>
  <si>
    <t>2027/09/18</t>
  </si>
  <si>
    <t>LORCA TELECOM BONDCO 4 18/09/2027</t>
  </si>
  <si>
    <t>XS2240463674</t>
  </si>
  <si>
    <t>2080/08/27</t>
  </si>
  <si>
    <t>VODAFONE GROUP PLC 27/08/2080</t>
  </si>
  <si>
    <t>XS2225204010</t>
  </si>
  <si>
    <t>FAURECIA SE 3.75 15/06/2028</t>
  </si>
  <si>
    <t>XS2209344543</t>
  </si>
  <si>
    <t>2028/07/15</t>
  </si>
  <si>
    <t>AVANTOR FUNDING INC 3.875 15/07/2028</t>
  </si>
  <si>
    <t>XS2205083749</t>
  </si>
  <si>
    <t>2028/06/01</t>
  </si>
  <si>
    <t>SILGAN HOLDINGS INC 2.25 01/06/2028</t>
  </si>
  <si>
    <t>XS2181577268</t>
  </si>
  <si>
    <t>2032/02/25</t>
  </si>
  <si>
    <t>VF CORPORATION 0.625 25/02/2032</t>
  </si>
  <si>
    <t>XS2123970241</t>
  </si>
  <si>
    <t>ARENA LUXEMBOURG FINANCE SARL 1.875 01/02/2028</t>
  </si>
  <si>
    <t>XS2111944133</t>
  </si>
  <si>
    <t>2028/01/30</t>
  </si>
  <si>
    <t>ASHLAND SERVICES B.V. 2 30/01/2028</t>
  </si>
  <si>
    <t>XS2103218538</t>
  </si>
  <si>
    <t>INFINEON TECHNOLOGIES AG PERP</t>
  </si>
  <si>
    <t>XS2056730679</t>
  </si>
  <si>
    <t>2028/01/15</t>
  </si>
  <si>
    <t>ALTICE FRANCE SA (FRANCE) 3.375 15/01/2028</t>
  </si>
  <si>
    <t>XS2053846262</t>
  </si>
  <si>
    <t>2027/07/15</t>
  </si>
  <si>
    <t>INPOST SA 2.25 15/07/2027</t>
  </si>
  <si>
    <t>XS2010028004</t>
  </si>
  <si>
    <t>EUROFINS SCIENTIFIC SE PERP</t>
  </si>
  <si>
    <t>XS1716945586</t>
  </si>
  <si>
    <t>2222/12/31</t>
  </si>
  <si>
    <t>PEGASUS SATELLITE COMMUNICATIONS I 31/12/2222</t>
  </si>
  <si>
    <t>US70558AAB26</t>
  </si>
  <si>
    <t>2082/03/14</t>
  </si>
  <si>
    <t>EDP -  ENERGIAS DE PORTUGAL SA 14/03/2082</t>
  </si>
  <si>
    <t>PTEDPXOM0021</t>
  </si>
  <si>
    <t>2054/09/16</t>
  </si>
  <si>
    <t>EDP SA 16/09/2054</t>
  </si>
  <si>
    <t>PTEDPSOM0002</t>
  </si>
  <si>
    <t>2030/09/04</t>
  </si>
  <si>
    <t>AIR FRANCE-KLM 3.75 04/09/2030</t>
  </si>
  <si>
    <t>FR0014012HT4</t>
  </si>
  <si>
    <t>2030/05/28</t>
  </si>
  <si>
    <t>SPIE SA 3.75 28/05/2030</t>
  </si>
  <si>
    <t>FR001400ZYD0</t>
  </si>
  <si>
    <t>UNIBAIL-RODAMCO-WESTFIELD SE PERP</t>
  </si>
  <si>
    <t>FR001400Y8Z5</t>
  </si>
  <si>
    <t>2031/05/20</t>
  </si>
  <si>
    <t>VALEO SE 5.125 20/05/2031</t>
  </si>
  <si>
    <t>FR001400WJR8</t>
  </si>
  <si>
    <t>ROQUETTE FRERES SA PERP</t>
  </si>
  <si>
    <t>FR001400U3Q9</t>
  </si>
  <si>
    <t>ILIAD SA 4.25 15/12/2029</t>
  </si>
  <si>
    <t>FR001400TL99</t>
  </si>
  <si>
    <t>ENGIE SA NC9 PERP</t>
  </si>
  <si>
    <t>FR001400QOL3</t>
  </si>
  <si>
    <t>ALSTOM SA PERP</t>
  </si>
  <si>
    <t>FR001400Q7G7</t>
  </si>
  <si>
    <t>ILIAD SA 5.625 15/02/2030</t>
  </si>
  <si>
    <t>FR001400FV85</t>
  </si>
  <si>
    <t>2030/01/16</t>
  </si>
  <si>
    <t>ALTAREA SCA 1.75 16/01/2030</t>
  </si>
  <si>
    <t>FR00140010J1</t>
  </si>
  <si>
    <t>VEOLIA ENVIRONNEMENT SA NC8.5 PERP</t>
  </si>
  <si>
    <t>FR00140007L3</t>
  </si>
  <si>
    <t>ORANGE SA PERP</t>
  </si>
  <si>
    <t>FR00140005L7</t>
  </si>
  <si>
    <t>ARKEMA SA PERP</t>
  </si>
  <si>
    <t>FR0013478252</t>
  </si>
  <si>
    <t>FR0013330537</t>
  </si>
  <si>
    <t>2031/04/01</t>
  </si>
  <si>
    <t>SCHAEFFLER AG 5.375 01/04/2031</t>
  </si>
  <si>
    <t>DE000A4DFLQ6</t>
  </si>
  <si>
    <t>2081/09/02</t>
  </si>
  <si>
    <t>EVONIK INDUSTRIES AG 02/09/2081</t>
  </si>
  <si>
    <t>DE000A3E5WW4</t>
  </si>
  <si>
    <t>2028/03/15</t>
  </si>
  <si>
    <t>AZELIS FINANCE NV 5.75 15/03/2028</t>
  </si>
  <si>
    <t>BE6342263157</t>
  </si>
  <si>
    <t>[0Y, 1Y[</t>
  </si>
  <si>
    <t>2025/09/08</t>
  </si>
  <si>
    <t>EURO-BUND SEP 25</t>
  </si>
  <si>
    <t>RXU5</t>
  </si>
  <si>
    <t>FUTURE</t>
  </si>
  <si>
    <t>2030/06/20</t>
  </si>
  <si>
    <t>LSA: (ITRAXX.XO.43.V2)</t>
  </si>
  <si>
    <t>QS0000183546</t>
  </si>
  <si>
    <t>CDS</t>
  </si>
  <si>
    <t>NORTHWESTERN CORPORATION</t>
  </si>
  <si>
    <t>US6680741070</t>
  </si>
  <si>
    <t>SHARE</t>
  </si>
  <si>
    <t>Actions</t>
  </si>
  <si>
    <t>IT GROUP INC</t>
  </si>
  <si>
    <t>US4652661046</t>
  </si>
  <si>
    <t>FORTUNE MANAGEMENT</t>
  </si>
  <si>
    <t>QS0003091590</t>
  </si>
  <si>
    <t>Cash for currency 'USD'</t>
  </si>
  <si>
    <t>Commission</t>
  </si>
  <si>
    <t>GBP</t>
  </si>
  <si>
    <t>Cash for currency 'GBP'</t>
  </si>
  <si>
    <t>Cash for currency 'EUR'</t>
  </si>
  <si>
    <t>Contrib to Credit Risk Delta</t>
  </si>
  <si>
    <t>Contrib to Mod. Duration</t>
  </si>
  <si>
    <t>Contrib to YTM</t>
  </si>
  <si>
    <t>Sensi Credit</t>
  </si>
  <si>
    <t>Spred Moyen</t>
  </si>
  <si>
    <t>Spread Moyen Gov</t>
  </si>
  <si>
    <t>Maturité Moy</t>
  </si>
  <si>
    <t>Sensi</t>
  </si>
  <si>
    <t>Coupon_Bonds</t>
  </si>
  <si>
    <t>ActifNetFondsSophis</t>
  </si>
  <si>
    <t>TauxChange</t>
  </si>
  <si>
    <t>TauxChangeDevise/EUR</t>
  </si>
  <si>
    <t>CoursDevise</t>
  </si>
  <si>
    <t>Quantite</t>
  </si>
  <si>
    <t>ICB_FR</t>
  </si>
  <si>
    <t>ZoneGeoFR</t>
  </si>
  <si>
    <t>PaysFR</t>
  </si>
  <si>
    <t>Folio name</t>
  </si>
  <si>
    <t>libelleTitre</t>
  </si>
  <si>
    <t>CodeIsin</t>
  </si>
  <si>
    <t>TypeActifSophis</t>
  </si>
  <si>
    <t>TypeActifFR</t>
  </si>
  <si>
    <t xml:space="preserve">Inventaire Sophis </t>
  </si>
  <si>
    <t>31/08/2032</t>
  </si>
  <si>
    <t>Obligation</t>
  </si>
  <si>
    <t>OBLIGATION</t>
  </si>
  <si>
    <t>15/02/2031</t>
  </si>
  <si>
    <t>15/08/2030</t>
  </si>
  <si>
    <t>15/07/2032</t>
  </si>
  <si>
    <t>14/07/2032</t>
  </si>
  <si>
    <t>30/06/2032</t>
  </si>
  <si>
    <t>30/07/2030</t>
  </si>
  <si>
    <t>01/07/2031</t>
  </si>
  <si>
    <t>01/07/2032</t>
  </si>
  <si>
    <t>24/06/2033</t>
  </si>
  <si>
    <t>31/12/2030</t>
  </si>
  <si>
    <t>12/06/2030</t>
  </si>
  <si>
    <t>15/06/2031</t>
  </si>
  <si>
    <t>01/06/2031</t>
  </si>
  <si>
    <t>31/12/2099</t>
  </si>
  <si>
    <t>15/05/2030</t>
  </si>
  <si>
    <t>21/05/2030</t>
  </si>
  <si>
    <t>04/06/2031</t>
  </si>
  <si>
    <t>31/01/2031</t>
  </si>
  <si>
    <t>27/10/2031</t>
  </si>
  <si>
    <t>15/04/2030</t>
  </si>
  <si>
    <t>31/03/2032</t>
  </si>
  <si>
    <t>30/04/2031</t>
  </si>
  <si>
    <t>20/03/2031</t>
  </si>
  <si>
    <t>15/04/2031</t>
  </si>
  <si>
    <t>15/04/2033</t>
  </si>
  <si>
    <t>15/03/2032</t>
  </si>
  <si>
    <t>Autriche</t>
  </si>
  <si>
    <t>15/09/2029</t>
  </si>
  <si>
    <t>31/10/2028</t>
  </si>
  <si>
    <t>17/07/2029</t>
  </si>
  <si>
    <t>15/02/2030</t>
  </si>
  <si>
    <t>15/01/2055</t>
  </si>
  <si>
    <t>26/09/2029</t>
  </si>
  <si>
    <t>01/05/2030</t>
  </si>
  <si>
    <t>15/12/2029</t>
  </si>
  <si>
    <t>05/11/2031</t>
  </si>
  <si>
    <t>15/02/2032</t>
  </si>
  <si>
    <t>30/10/2030</t>
  </si>
  <si>
    <t>21/02/2030</t>
  </si>
  <si>
    <t>31/10/2031</t>
  </si>
  <si>
    <t>15/10/2031</t>
  </si>
  <si>
    <t>27/09/2029</t>
  </si>
  <si>
    <t>15/11/2029</t>
  </si>
  <si>
    <t>27/01/2032</t>
  </si>
  <si>
    <t>30/09/2031</t>
  </si>
  <si>
    <t>30/09/2032</t>
  </si>
  <si>
    <t>12/09/2025</t>
  </si>
  <si>
    <t>25/03/2030</t>
  </si>
  <si>
    <t>30/01/2030</t>
  </si>
  <si>
    <t>24/01/2030</t>
  </si>
  <si>
    <t>31/07/2031</t>
  </si>
  <si>
    <t>15/07/2029</t>
  </si>
  <si>
    <t>15/07/2031</t>
  </si>
  <si>
    <t>31/12/2029</t>
  </si>
  <si>
    <t>01/07/2029</t>
  </si>
  <si>
    <t>30/06/2030</t>
  </si>
  <si>
    <t>Jersey</t>
  </si>
  <si>
    <t>30/05/2030</t>
  </si>
  <si>
    <t>01/06/2029</t>
  </si>
  <si>
    <t>01/06/2030</t>
  </si>
  <si>
    <t>08/05/2030</t>
  </si>
  <si>
    <t>02/05/2029</t>
  </si>
  <si>
    <t>31/07/2028</t>
  </si>
  <si>
    <t>15/02/2028</t>
  </si>
  <si>
    <t>24/01/2033</t>
  </si>
  <si>
    <t>15/05/2029</t>
  </si>
  <si>
    <t>08/04/2030</t>
  </si>
  <si>
    <t>13/04/2029</t>
  </si>
  <si>
    <t>15/04/2032</t>
  </si>
  <si>
    <t>03/10/2054</t>
  </si>
  <si>
    <t>28/02/2029</t>
  </si>
  <si>
    <t>01/02/2030</t>
  </si>
  <si>
    <t>15/03/2029</t>
  </si>
  <si>
    <t>31/07/2030</t>
  </si>
  <si>
    <t>31/05/2029</t>
  </si>
  <si>
    <t>30/11/2028</t>
  </si>
  <si>
    <t>09/11/2083</t>
  </si>
  <si>
    <t>11/10/2028</t>
  </si>
  <si>
    <t>15/09/2028</t>
  </si>
  <si>
    <t>28/06/2028</t>
  </si>
  <si>
    <t>Iles de Man</t>
  </si>
  <si>
    <t>01/04/2027</t>
  </si>
  <si>
    <t>15/12/2030</t>
  </si>
  <si>
    <t>30/04/2030</t>
  </si>
  <si>
    <t>06/02/2028</t>
  </si>
  <si>
    <t>01/02/2028</t>
  </si>
  <si>
    <t>30/11/2027</t>
  </si>
  <si>
    <t>15/04/2028</t>
  </si>
  <si>
    <t>15/01/2032</t>
  </si>
  <si>
    <t>15/01/2030</t>
  </si>
  <si>
    <t>15/01/2029</t>
  </si>
  <si>
    <t>09/05/2030</t>
  </si>
  <si>
    <t>30/09/2029</t>
  </si>
  <si>
    <t>15/10/2028</t>
  </si>
  <si>
    <t>29/09/2028</t>
  </si>
  <si>
    <t>15/10/2029</t>
  </si>
  <si>
    <t>15/10/2026</t>
  </si>
  <si>
    <t>15/03/2027</t>
  </si>
  <si>
    <t>21/03/2082</t>
  </si>
  <si>
    <t>15/06/2028</t>
  </si>
  <si>
    <t>24/06/2028</t>
  </si>
  <si>
    <t>30/06/2029</t>
  </si>
  <si>
    <t>15/05/2028</t>
  </si>
  <si>
    <t>30/04/2028</t>
  </si>
  <si>
    <t>15/02/2027</t>
  </si>
  <si>
    <t>15/02/2029</t>
  </si>
  <si>
    <t>01/11/2027</t>
  </si>
  <si>
    <t>18/09/2027</t>
  </si>
  <si>
    <t>27/08/2080</t>
  </si>
  <si>
    <t>15/07/2028</t>
  </si>
  <si>
    <t>01/06/2028</t>
  </si>
  <si>
    <t>25/02/2032</t>
  </si>
  <si>
    <t>30/01/2028</t>
  </si>
  <si>
    <t>15/01/2028</t>
  </si>
  <si>
    <t>15/07/2027</t>
  </si>
  <si>
    <t>01/03/2007</t>
  </si>
  <si>
    <t>NORTHWESTERN CORP</t>
  </si>
  <si>
    <t>ACTION</t>
  </si>
  <si>
    <t>IT Group</t>
  </si>
  <si>
    <t>Fortune Mangment</t>
  </si>
  <si>
    <t>20/06/2030</t>
  </si>
  <si>
    <t>Banque Cetrle de</t>
  </si>
  <si>
    <t>CDS Indice</t>
  </si>
  <si>
    <t>14/03/2082</t>
  </si>
  <si>
    <t>16/09/2054</t>
  </si>
  <si>
    <t>04/09/2030</t>
  </si>
  <si>
    <t>28/05/2030</t>
  </si>
  <si>
    <t>20/05/2031</t>
  </si>
  <si>
    <t>31/12/2049</t>
  </si>
  <si>
    <t>16/01/2030</t>
  </si>
  <si>
    <t>VEOLIA ENVIRONNEMENT</t>
  </si>
  <si>
    <t>OFI RS LIQUIDITES SICAV</t>
  </si>
  <si>
    <t>Dispo/Liquidité Investie</t>
  </si>
  <si>
    <t>Disponibilité</t>
  </si>
  <si>
    <t>OPCVM INTERNE</t>
  </si>
  <si>
    <t>01/04/2031</t>
  </si>
  <si>
    <t>02/09/2081</t>
  </si>
  <si>
    <t>07/07/2032</t>
  </si>
  <si>
    <t>15/03/2028</t>
  </si>
  <si>
    <t>10/09/2025</t>
  </si>
  <si>
    <t>FUTURE RATES</t>
  </si>
  <si>
    <t>Option/Future</t>
  </si>
  <si>
    <t>OPTION/FUTURE</t>
  </si>
  <si>
    <t>BBG01R6F3CC6</t>
  </si>
  <si>
    <t>Disponibilié</t>
  </si>
  <si>
    <t>Poids</t>
  </si>
  <si>
    <t>valeurBoursiereCouponInclus</t>
  </si>
  <si>
    <t>Cours EUR</t>
  </si>
  <si>
    <t>coursDevise</t>
  </si>
  <si>
    <t>coursTitreValo</t>
  </si>
  <si>
    <t>quantite</t>
  </si>
  <si>
    <t>codeDeviseTitre</t>
  </si>
  <si>
    <t>dateRemboursement</t>
  </si>
  <si>
    <t>libelleEmetteur</t>
  </si>
  <si>
    <t>pays</t>
  </si>
  <si>
    <t>ICB2_FR</t>
  </si>
  <si>
    <t>libelleTypeTitre</t>
  </si>
  <si>
    <t>libelleTitreReferentiel</t>
  </si>
  <si>
    <t>codeIsinTitre</t>
  </si>
  <si>
    <t>Inventaire Ofi Invest Euro High Yield GI au 29/08/25</t>
  </si>
  <si>
    <t>XS3110309492</t>
  </si>
  <si>
    <t>CENTRIENT HOLDING BV</t>
  </si>
  <si>
    <t>CENTRIENT HOLDING BV 6.75 30/05/2030</t>
  </si>
  <si>
    <t>XS3045391607</t>
  </si>
  <si>
    <t>ELM BV</t>
  </si>
  <si>
    <t>ELM BV PERP</t>
  </si>
  <si>
    <t>XS2182055009</t>
  </si>
  <si>
    <t>ALLWYN INTERNATIONAL AS</t>
  </si>
  <si>
    <t>Rep-Tchèque</t>
  </si>
  <si>
    <t>SAZKA GROUP AS 3.875 15/02/2027</t>
  </si>
  <si>
    <t>XS2113253210</t>
  </si>
  <si>
    <t>23/05/2029</t>
  </si>
  <si>
    <t>AIR FRANCE-KLM 4.625 23/05/2029</t>
  </si>
  <si>
    <t>FR001400Q6Z9</t>
  </si>
  <si>
    <t>31/05/2028</t>
  </si>
  <si>
    <t>AIR FRANCE-KLM 8.125 31/05/2028</t>
  </si>
  <si>
    <t>FR001400F2R8</t>
  </si>
  <si>
    <t>Inventaire Ofi Invest Euro High Yield GI au 31/07/25</t>
  </si>
  <si>
    <t>31/12/2222</t>
  </si>
  <si>
    <t>179</t>
  </si>
  <si>
    <t>178</t>
  </si>
  <si>
    <t>177</t>
  </si>
  <si>
    <t>176</t>
  </si>
  <si>
    <t>175</t>
  </si>
  <si>
    <t>174</t>
  </si>
  <si>
    <t>173</t>
  </si>
  <si>
    <t>172</t>
  </si>
  <si>
    <t>171</t>
  </si>
  <si>
    <t>170</t>
  </si>
  <si>
    <t>169</t>
  </si>
  <si>
    <t>168</t>
  </si>
  <si>
    <t>31/12/2079</t>
  </si>
  <si>
    <t>167</t>
  </si>
  <si>
    <t>166</t>
  </si>
  <si>
    <t>165</t>
  </si>
  <si>
    <t>164</t>
  </si>
  <si>
    <t>163</t>
  </si>
  <si>
    <t>162</t>
  </si>
  <si>
    <t>161</t>
  </si>
  <si>
    <t>160</t>
  </si>
  <si>
    <t>159</t>
  </si>
  <si>
    <t>158</t>
  </si>
  <si>
    <t>157</t>
  </si>
  <si>
    <t>156</t>
  </si>
  <si>
    <t>155</t>
  </si>
  <si>
    <t>154</t>
  </si>
  <si>
    <t>153</t>
  </si>
  <si>
    <t>152</t>
  </si>
  <si>
    <t>151</t>
  </si>
  <si>
    <t>150</t>
  </si>
  <si>
    <t>149</t>
  </si>
  <si>
    <t>148</t>
  </si>
  <si>
    <t>147</t>
  </si>
  <si>
    <t>146</t>
  </si>
  <si>
    <t>145</t>
  </si>
  <si>
    <t>144</t>
  </si>
  <si>
    <t>143</t>
  </si>
  <si>
    <t>142</t>
  </si>
  <si>
    <t>141</t>
  </si>
  <si>
    <t>140</t>
  </si>
  <si>
    <t>139</t>
  </si>
  <si>
    <t>138</t>
  </si>
  <si>
    <t>137</t>
  </si>
  <si>
    <t>136</t>
  </si>
  <si>
    <t>135</t>
  </si>
  <si>
    <t>134</t>
  </si>
  <si>
    <t>133</t>
  </si>
  <si>
    <t>132</t>
  </si>
  <si>
    <t>12/09/2054</t>
  </si>
  <si>
    <t>131</t>
  </si>
  <si>
    <t>130</t>
  </si>
  <si>
    <t>129</t>
  </si>
  <si>
    <t>128</t>
  </si>
  <si>
    <t>127</t>
  </si>
  <si>
    <t>126</t>
  </si>
  <si>
    <t>125</t>
  </si>
  <si>
    <t>124</t>
  </si>
  <si>
    <t>123</t>
  </si>
  <si>
    <t>122</t>
  </si>
  <si>
    <t>121</t>
  </si>
  <si>
    <t>120</t>
  </si>
  <si>
    <t>119</t>
  </si>
  <si>
    <t>118</t>
  </si>
  <si>
    <t>117</t>
  </si>
  <si>
    <t>116</t>
  </si>
  <si>
    <t>115</t>
  </si>
  <si>
    <t>114</t>
  </si>
  <si>
    <t>113</t>
  </si>
  <si>
    <t>112</t>
  </si>
  <si>
    <t>111</t>
  </si>
  <si>
    <t>110</t>
  </si>
  <si>
    <t>109</t>
  </si>
  <si>
    <t>108</t>
  </si>
  <si>
    <t>107</t>
  </si>
  <si>
    <t>30/12/2030</t>
  </si>
  <si>
    <t>106</t>
  </si>
  <si>
    <t>105</t>
  </si>
  <si>
    <t>104</t>
  </si>
  <si>
    <t>103</t>
  </si>
  <si>
    <t>102</t>
  </si>
  <si>
    <t>101</t>
  </si>
  <si>
    <t>99</t>
  </si>
  <si>
    <t>98</t>
  </si>
  <si>
    <t>97</t>
  </si>
  <si>
    <t>96</t>
  </si>
  <si>
    <t>95</t>
  </si>
  <si>
    <t>94</t>
  </si>
  <si>
    <t>93</t>
  </si>
  <si>
    <t>92</t>
  </si>
  <si>
    <t>91</t>
  </si>
  <si>
    <t>90</t>
  </si>
  <si>
    <t>89</t>
  </si>
  <si>
    <t>88</t>
  </si>
  <si>
    <t>87</t>
  </si>
  <si>
    <t>86</t>
  </si>
  <si>
    <t>85</t>
  </si>
  <si>
    <t>84</t>
  </si>
  <si>
    <t>83</t>
  </si>
  <si>
    <t>82</t>
  </si>
  <si>
    <t>81</t>
  </si>
  <si>
    <t>80</t>
  </si>
  <si>
    <t>79</t>
  </si>
  <si>
    <t>78</t>
  </si>
  <si>
    <t>77</t>
  </si>
  <si>
    <t>76</t>
  </si>
  <si>
    <t>75</t>
  </si>
  <si>
    <t>74</t>
  </si>
  <si>
    <t>73</t>
  </si>
  <si>
    <t>72</t>
  </si>
  <si>
    <t>71</t>
  </si>
  <si>
    <t>70</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</si>
  <si>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</si>
  <si>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</si>
  <si>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</si>
  <si>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</si>
  <si>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</si>
  <si>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</si>
  <si>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</si>
  <si>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</si>
  <si>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</si>
  <si>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</si>
  <si>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</si>
  <si>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</si>
  <si>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</si>
  <si>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</si>
  <si>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</si>
  <si>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</si>
  <si>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</si>
  <si>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</si>
  <si>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</si>
  <si>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</si>
  <si>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</si>
  <si>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</si>
  <si>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</si>
  <si>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</si>
  <si>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</si>
  <si>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</si>
  <si>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</si>
  <si>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</si>
  <si>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</si>
  <si>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</si>
  <si>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</si>
  <si>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</si>
  <si>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</si>
  <si>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</si>
  <si>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</si>
  <si>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</si>
  <si>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</si>
  <si>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</si>
  <si>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</si>
  <si>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</si>
  <si>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29</t>
  </si>
  <si>
    <t>28</t>
  </si>
  <si>
    <t>27</t>
  </si>
  <si>
    <t>26</t>
  </si>
  <si>
    <t>12/10/2028</t>
  </si>
  <si>
    <t>25</t>
  </si>
  <si>
    <t>24</t>
  </si>
  <si>
    <t>23</t>
  </si>
  <si>
    <t>22</t>
  </si>
  <si>
    <t>21</t>
  </si>
  <si>
    <t>20</t>
  </si>
  <si>
    <t>19</t>
  </si>
  <si>
    <t>18</t>
  </si>
  <si>
    <t>17</t>
  </si>
  <si>
    <t>16</t>
  </si>
  <si>
    <t>15</t>
  </si>
  <si>
    <t>14</t>
  </si>
  <si>
    <t>13</t>
  </si>
  <si>
    <t>12</t>
  </si>
  <si>
    <t>11</t>
  </si>
  <si>
    <t>10</t>
  </si>
  <si>
    <t>9</t>
  </si>
  <si>
    <t>8</t>
  </si>
  <si>
    <t>7</t>
  </si>
  <si>
    <t>6</t>
  </si>
  <si>
    <t>5</t>
  </si>
  <si>
    <t>3</t>
  </si>
  <si>
    <t>2</t>
  </si>
  <si>
    <t>1</t>
  </si>
  <si>
    <t>Rank</t>
  </si>
  <si>
    <t xml:space="preserve">Principales lignes </t>
  </si>
  <si>
    <t xml:space="preserve">Ofi Invest Euro High Yield GI is mainly invested in euro-denominated high yield bonds issued by companies based in countries members of the OECD.The investment team may also use CDS or CDS indices. Exposure to other euro-denominated corporate bonds is capped at 20%. </t>
  </si>
  <si>
    <t>Ofi Invest Euro High Yield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</si>
</sst>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_-* #,##0.00\ &quot;€&quot;_-;\-* #,##0.00\ &quot;€&quot;_-;_-* &quot;-&quot;??\ &quot;€&quot;_-;_-@_-"/>
    <numFmt numFmtId="165" formatCode="_-* #,##0.00\ _€_-;\-* #,##0.00\ _€_-;_-* &quot;-&quot;??\ _€_-;_-@_-"/>
    <numFmt numFmtId="166" formatCode="_-* #,##0.00\ [$€]_-;\-* #,##0.00\ [$€]_-;_-* &quot;-&quot;??\ [$€]_-;_-@_-"/>
    <numFmt numFmtId="167" formatCode="#,##0.0000"/>
    <numFmt numFmtId="168" formatCode="dd/mm/yy;@"/>
    <numFmt numFmtId="169" formatCode="0.0%"/>
    <numFmt numFmtId="170" formatCode="[Color10][&gt;0]&quot;ì&quot;;[Red][&lt;0]&quot;î&quot;;[Color48]&quot;è&quot;"/>
    <numFmt numFmtId="171" formatCode="mm/dd/yy"/>
    <numFmt numFmtId="172" formatCode="#,##0.0"/>
    <numFmt numFmtId="173" formatCode="#,##0.000"/>
    <numFmt numFmtId="174" formatCode="_-* #,##0.00\ _F_-;\-* #,##0.00\ _F_-;_-* &quot;-&quot;??\ _F_-;_-@_-"/>
    <numFmt numFmtId="175" formatCode="_-* #,##0.0000\ _€_-;\-* #,##0.0000\ _€_-;_-* &quot;-&quot;????\ _€_-;_-@_-"/>
    <numFmt numFmtId="176" formatCode="0\ \b\p"/>
    <numFmt numFmtId="177" formatCode="0.000%"/>
    <numFmt numFmtId="178" formatCode="0.0"/>
    <numFmt numFmtId="179" formatCode="0&quot;  &quot;"/>
    <numFmt numFmtId="180" formatCode="_([$€]* #,##0.00_);_([$€]* \(#,##0.00\);_([$€]* &quot;-&quot;??_);_(@_)"/>
    <numFmt numFmtId="181" formatCode="#\ ##0.0"/>
    <numFmt numFmtId="182" formatCode="_-* #,##0.00\ [$€-1]_-;\-* #,##0.00\ [$€-1]_-;_-* &quot;-&quot;??\ [$€-1]_-"/>
    <numFmt numFmtId="183" formatCode="_-* #,##0.00_-;\-* #,##0.00_-;_-* &quot;-&quot;??_-;_-@_-"/>
    <numFmt numFmtId="184" formatCode="\+0.0%;\-0.0%"/>
    <numFmt numFmtId="185" formatCode="#\ ###\ ###\ ##0.00"/>
    <numFmt numFmtId="186" formatCode="#\ ###\ ##0.00"/>
    <numFmt numFmtId="187" formatCode="#\ ###\ ##0.0000"/>
    <numFmt numFmtId="188" formatCode="0.0000%"/>
  </numFmts>
  <fonts count="128">
    <font>
      <sz val="11"/>
      <color theme="1"/>
      <name val="Calibri"/>
      <family val="2"/>
      <scheme val="minor"/>
    </font>
    <font>
      <sz val="11"/>
      <color theme="1"/>
      <name val="Calibri"/>
      <family val="2"/>
      <scheme val="minor"/>
    </font>
    <font>
      <b/>
      <sz val="11"/>
      <color theme="1"/>
      <name val="Calibri"/>
      <family val="2"/>
      <scheme val="minor"/>
    </font>
    <font>
      <sz val="10"/>
      <name val="Helv"/>
    </font>
    <font>
      <sz val="10"/>
      <name val="Arial"/>
      <family val="2"/>
    </font>
    <font>
      <b/>
      <sz val="10"/>
      <name val="Times New Roman"/>
      <family val="1"/>
    </font>
    <font>
      <sz val="8"/>
      <name val="Times New Roman"/>
      <family val="1"/>
    </font>
    <font>
      <b/>
      <u/>
      <sz val="12"/>
      <name val="Times New Roman"/>
      <family val="1"/>
    </font>
    <font>
      <sz val="10"/>
      <color indexed="9"/>
      <name val="Times New Roman"/>
      <family val="1"/>
    </font>
    <font>
      <sz val="11"/>
      <color theme="1"/>
      <name val="Arial"/>
      <family val="2"/>
    </font>
    <font>
      <b/>
      <sz val="10"/>
      <color theme="1"/>
      <name val="Arial"/>
      <family val="2"/>
    </font>
    <font>
      <sz val="10"/>
      <color theme="1"/>
      <name val="Arial"/>
      <family val="2"/>
    </font>
    <font>
      <sz val="9"/>
      <color theme="1"/>
      <name val="Arial"/>
      <family val="2"/>
    </font>
    <font>
      <i/>
      <sz val="7"/>
      <color theme="1"/>
      <name val="Arial"/>
      <family val="2"/>
    </font>
    <font>
      <b/>
      <sz val="9"/>
      <color theme="1"/>
      <name val="Arial"/>
      <family val="2"/>
    </font>
    <font>
      <b/>
      <sz val="12"/>
      <color theme="0" tint="-4.9989318521683403E-2"/>
      <name val="Arial"/>
      <family val="2"/>
    </font>
    <font>
      <i/>
      <sz val="9"/>
      <color theme="1"/>
      <name val="Arial"/>
      <family val="2"/>
    </font>
    <font>
      <b/>
      <sz val="12"/>
      <color theme="0"/>
      <name val="Arial"/>
      <family val="2"/>
    </font>
    <font>
      <b/>
      <i/>
      <sz val="9"/>
      <color theme="1"/>
      <name val="Arial"/>
      <family val="2"/>
    </font>
    <font>
      <i/>
      <sz val="8"/>
      <name val="Arial"/>
      <family val="2"/>
    </font>
    <font>
      <b/>
      <sz val="10"/>
      <color indexed="57"/>
      <name val="Arial"/>
      <family val="2"/>
    </font>
    <font>
      <b/>
      <i/>
      <sz val="8"/>
      <color indexed="53"/>
      <name val="Arial"/>
      <family val="2"/>
    </font>
    <font>
      <b/>
      <sz val="8"/>
      <color indexed="9"/>
      <name val="Arial"/>
      <family val="2"/>
    </font>
    <font>
      <sz val="10"/>
      <name val="Style Rating"/>
    </font>
    <font>
      <sz val="11"/>
      <color theme="0"/>
      <name val="Calibri"/>
      <family val="2"/>
    </font>
    <font>
      <sz val="11"/>
      <color theme="1"/>
      <name val="Calibri"/>
      <family val="2"/>
    </font>
    <font>
      <b/>
      <i/>
      <sz val="8"/>
      <color indexed="17"/>
      <name val="Arial"/>
      <family val="2"/>
    </font>
    <font>
      <b/>
      <i/>
      <sz val="8"/>
      <color theme="9" tint="-0.24994659260841701"/>
      <name val="Arial"/>
      <family val="2"/>
    </font>
    <font>
      <b/>
      <sz val="8"/>
      <color theme="0"/>
      <name val="Arial"/>
      <family val="2"/>
    </font>
    <font>
      <b/>
      <sz val="10"/>
      <color theme="0"/>
      <name val="Arial"/>
      <family val="2"/>
    </font>
    <font>
      <b/>
      <sz val="11"/>
      <color rgb="FFFF0000"/>
      <name val="Calibri"/>
      <family val="2"/>
      <scheme val="minor"/>
    </font>
    <font>
      <b/>
      <sz val="8"/>
      <color theme="1"/>
      <name val="Arial"/>
      <family val="2"/>
    </font>
    <font>
      <i/>
      <sz val="10"/>
      <color theme="0" tint="-4.9989318521683403E-2"/>
      <name val="Arial"/>
      <family val="2"/>
    </font>
    <font>
      <sz val="8"/>
      <color theme="1"/>
      <name val="Arial"/>
      <family val="2"/>
    </font>
    <font>
      <sz val="8"/>
      <color theme="1"/>
      <name val="Calibri"/>
      <family val="2"/>
      <scheme val="minor"/>
    </font>
    <font>
      <sz val="8"/>
      <name val="Wingdings"/>
      <charset val="2"/>
    </font>
    <font>
      <b/>
      <sz val="9"/>
      <color indexed="55"/>
      <name val="Trebuchet MS"/>
      <family val="2"/>
    </font>
    <font>
      <sz val="8"/>
      <name val="Trebuchet MS"/>
      <family val="2"/>
    </font>
    <font>
      <sz val="8"/>
      <color indexed="8"/>
      <name val="Trebuchet MS"/>
      <family val="2"/>
    </font>
    <font>
      <sz val="10"/>
      <name val="Times New Roman"/>
      <family val="1"/>
    </font>
    <font>
      <sz val="10"/>
      <color indexed="8"/>
      <name val="Trebuchet MS"/>
      <family val="2"/>
    </font>
    <font>
      <sz val="8"/>
      <color indexed="62"/>
      <name val="Trebuchet MS"/>
      <family val="2"/>
    </font>
    <font>
      <b/>
      <sz val="8"/>
      <color indexed="63"/>
      <name val="Trebuchet MS"/>
      <family val="2"/>
    </font>
    <font>
      <sz val="9"/>
      <name val="NewsGoth Lt BT"/>
      <family val="2"/>
    </font>
    <font>
      <sz val="11"/>
      <color indexed="51"/>
      <name val="Trebuchet MS"/>
      <family val="2"/>
    </font>
    <font>
      <sz val="10"/>
      <name val="Trebuchet MS"/>
      <family val="2"/>
    </font>
    <font>
      <b/>
      <sz val="9"/>
      <color indexed="9"/>
      <name val="Trebuchet MS"/>
      <family val="2"/>
    </font>
    <font>
      <b/>
      <sz val="9"/>
      <color indexed="63"/>
      <name val="Trebuchet MS"/>
      <family val="2"/>
    </font>
    <font>
      <b/>
      <sz val="8"/>
      <color indexed="62"/>
      <name val="Trebuchet MS"/>
      <family val="2"/>
    </font>
    <font>
      <sz val="11"/>
      <color theme="0" tint="-0.249977111117893"/>
      <name val="Calibri"/>
      <family val="2"/>
      <scheme val="minor"/>
    </font>
    <font>
      <vertAlign val="superscript"/>
      <sz val="8"/>
      <color theme="1"/>
      <name val="Arial"/>
      <family val="2"/>
    </font>
    <font>
      <b/>
      <sz val="11"/>
      <color theme="0"/>
      <name val="Calibri"/>
      <family val="2"/>
      <scheme val="minor"/>
    </font>
    <font>
      <b/>
      <sz val="8"/>
      <name val="Times New Roman"/>
      <family val="1"/>
    </font>
    <font>
      <i/>
      <sz val="11"/>
      <color theme="1"/>
      <name val="Calibri"/>
      <family val="2"/>
      <scheme val="minor"/>
    </font>
    <font>
      <b/>
      <sz val="16"/>
      <color theme="0"/>
      <name val="Calibri"/>
      <family val="2"/>
      <scheme val="minor"/>
    </font>
    <font>
      <i/>
      <sz val="8"/>
      <color theme="1"/>
      <name val="Arial"/>
      <family val="2"/>
    </font>
    <font>
      <sz val="10"/>
      <color indexed="62"/>
      <name val="Arial"/>
      <family val="2"/>
    </font>
    <font>
      <sz val="10"/>
      <name val="MS Sans Serif"/>
      <family val="2"/>
    </font>
    <font>
      <b/>
      <sz val="10"/>
      <name val="MS Sans Serif"/>
      <family val="2"/>
    </font>
    <font>
      <sz val="10"/>
      <color indexed="18"/>
      <name val="Arial"/>
      <family val="2"/>
    </font>
    <font>
      <b/>
      <sz val="10"/>
      <color indexed="62"/>
      <name val="Arial"/>
      <family val="2"/>
    </font>
    <font>
      <b/>
      <sz val="11"/>
      <name val="Calibri"/>
      <family val="2"/>
      <scheme val="minor"/>
    </font>
    <font>
      <b/>
      <sz val="8.5"/>
      <color theme="1"/>
      <name val="Arial"/>
      <family val="2"/>
    </font>
    <font>
      <sz val="9"/>
      <color theme="1"/>
      <name val="Calibri"/>
      <family val="2"/>
      <scheme val="minor"/>
    </font>
    <font>
      <sz val="11"/>
      <name val="Calibri"/>
      <family val="2"/>
      <scheme val="minor"/>
    </font>
    <font>
      <b/>
      <sz val="12"/>
      <color theme="0"/>
      <name val="Calibri"/>
      <family val="2"/>
      <scheme val="minor"/>
    </font>
    <font>
      <b/>
      <sz val="18"/>
      <color theme="3"/>
      <name val="Cambria"/>
      <family val="2"/>
      <scheme val="major"/>
    </font>
    <font>
      <sz val="11"/>
      <color rgb="FF006100"/>
      <name val="Calibri"/>
      <family val="2"/>
      <scheme val="minor"/>
    </font>
    <font>
      <b/>
      <sz val="12"/>
      <color theme="1"/>
      <name val="Arial"/>
      <family val="2"/>
    </font>
    <font>
      <b/>
      <sz val="8"/>
      <name val="MS Sans Serif"/>
      <family val="2"/>
    </font>
    <font>
      <sz val="10"/>
      <name val="Verdana"/>
      <family val="2"/>
    </font>
    <font>
      <sz val="10"/>
      <color indexed="9"/>
      <name val="Arial"/>
      <family val="2"/>
    </font>
    <font>
      <sz val="8"/>
      <color indexed="8"/>
      <name val="Arial"/>
      <family val="2"/>
    </font>
    <font>
      <b/>
      <sz val="12"/>
      <color indexed="8"/>
      <name val="Arial"/>
      <family val="2"/>
    </font>
    <font>
      <u/>
      <sz val="10"/>
      <color indexed="12"/>
      <name val="Arial"/>
      <family val="2"/>
    </font>
    <font>
      <sz val="10"/>
      <color indexed="8"/>
      <name val="Times New Roman"/>
      <family val="1"/>
    </font>
    <font>
      <b/>
      <sz val="11"/>
      <color indexed="62"/>
      <name val="Arial"/>
      <family val="2"/>
    </font>
    <font>
      <b/>
      <sz val="8"/>
      <color indexed="62"/>
      <name val="Arial"/>
      <family val="2"/>
    </font>
    <font>
      <b/>
      <sz val="9"/>
      <color indexed="9"/>
      <name val="Arial"/>
      <family val="2"/>
    </font>
    <font>
      <sz val="8"/>
      <color indexed="8"/>
      <name val="Bookman Old Style"/>
      <family val="1"/>
    </font>
    <font>
      <b/>
      <i/>
      <sz val="8"/>
      <color indexed="8"/>
      <name val="Arial Narrow"/>
      <family val="2"/>
    </font>
    <font>
      <b/>
      <i/>
      <sz val="12"/>
      <color indexed="8"/>
      <name val="Arial Narrow"/>
      <family val="2"/>
    </font>
    <font>
      <b/>
      <i/>
      <sz val="8"/>
      <color indexed="8"/>
      <name val="Bookman Old Style"/>
      <family val="1"/>
    </font>
    <font>
      <b/>
      <sz val="9"/>
      <color indexed="9"/>
      <name val="Bookman Old Style"/>
      <family val="1"/>
    </font>
    <font>
      <b/>
      <i/>
      <sz val="12"/>
      <color indexed="8"/>
      <name val="Bookman Old Style"/>
      <family val="1"/>
    </font>
    <font>
      <sz val="10"/>
      <name val="Arial Narrow"/>
      <family val="2"/>
    </font>
    <font>
      <sz val="10"/>
      <color theme="1"/>
      <name val="Arial Narrow"/>
      <family val="2"/>
    </font>
    <font>
      <sz val="11"/>
      <color indexed="8"/>
      <name val="Calibri"/>
      <family val="2"/>
      <scheme val="minor"/>
    </font>
    <font>
      <sz val="11"/>
      <color rgb="FF000000"/>
      <name val="Calibri"/>
      <family val="2"/>
    </font>
    <font>
      <sz val="10"/>
      <color indexed="8"/>
      <name val="Arial"/>
      <family val="2"/>
    </font>
    <font>
      <sz val="11"/>
      <color indexed="8"/>
      <name val="Calibri"/>
      <family val="2"/>
    </font>
    <font>
      <b/>
      <sz val="8"/>
      <color indexed="21"/>
      <name val="Arial"/>
      <family val="2"/>
    </font>
    <font>
      <sz val="8"/>
      <name val="Arial"/>
      <family val="2"/>
    </font>
    <font>
      <sz val="8"/>
      <color indexed="53"/>
      <name val="Courier New"/>
      <family val="3"/>
    </font>
    <font>
      <sz val="8"/>
      <color indexed="55"/>
      <name val="Arial"/>
      <family val="2"/>
    </font>
    <font>
      <b/>
      <sz val="9"/>
      <color indexed="13"/>
      <name val="Arial"/>
      <family val="2"/>
    </font>
    <font>
      <i/>
      <sz val="12"/>
      <color indexed="10"/>
      <name val="Trebuchet MS"/>
      <family val="2"/>
    </font>
    <font>
      <sz val="10"/>
      <color theme="1"/>
      <name val="Times New Roman"/>
      <family val="2"/>
    </font>
    <font>
      <sz val="10"/>
      <name val="CG Omega"/>
      <family val="2"/>
    </font>
    <font>
      <b/>
      <sz val="18"/>
      <color indexed="56"/>
      <name val="Cambria"/>
      <family val="2"/>
    </font>
    <font>
      <sz val="10"/>
      <color theme="0"/>
      <name val="Arial Narrow"/>
      <family val="2"/>
    </font>
    <font>
      <b/>
      <sz val="15"/>
      <color theme="3"/>
      <name val="Arial Narrow"/>
      <family val="2"/>
    </font>
    <font>
      <b/>
      <sz val="13"/>
      <color theme="3"/>
      <name val="Arial Narrow"/>
      <family val="2"/>
    </font>
    <font>
      <b/>
      <sz val="11"/>
      <color theme="3"/>
      <name val="Arial Narrow"/>
      <family val="2"/>
    </font>
    <font>
      <sz val="10"/>
      <color rgb="FF006100"/>
      <name val="Arial Narrow"/>
      <family val="2"/>
    </font>
    <font>
      <sz val="10"/>
      <color rgb="FF9C0006"/>
      <name val="Arial Narrow"/>
      <family val="2"/>
    </font>
    <font>
      <sz val="10"/>
      <color rgb="FF9C6500"/>
      <name val="Arial Narrow"/>
      <family val="2"/>
    </font>
    <font>
      <sz val="10"/>
      <color rgb="FF3F3F76"/>
      <name val="Arial Narrow"/>
      <family val="2"/>
    </font>
    <font>
      <b/>
      <sz val="10"/>
      <color rgb="FF3F3F3F"/>
      <name val="Arial Narrow"/>
      <family val="2"/>
    </font>
    <font>
      <b/>
      <sz val="10"/>
      <color rgb="FFFA7D00"/>
      <name val="Arial Narrow"/>
      <family val="2"/>
    </font>
    <font>
      <sz val="10"/>
      <color rgb="FFFA7D00"/>
      <name val="Arial Narrow"/>
      <family val="2"/>
    </font>
    <font>
      <b/>
      <sz val="10"/>
      <color theme="0"/>
      <name val="Arial Narrow"/>
      <family val="2"/>
    </font>
    <font>
      <sz val="10"/>
      <color rgb="FFFF0000"/>
      <name val="Arial Narrow"/>
      <family val="2"/>
    </font>
    <font>
      <i/>
      <sz val="10"/>
      <color rgb="FF7F7F7F"/>
      <name val="Arial Narrow"/>
      <family val="2"/>
    </font>
    <font>
      <b/>
      <sz val="10"/>
      <color theme="1"/>
      <name val="Arial Narrow"/>
      <family val="2"/>
    </font>
    <font>
      <u/>
      <sz val="11"/>
      <color theme="10"/>
      <name val="Calibri"/>
      <family val="2"/>
      <scheme val="minor"/>
    </font>
    <font>
      <b/>
      <sz val="36"/>
      <name val="Arial"/>
      <family val="2"/>
    </font>
    <font>
      <sz val="11"/>
      <name val="Arial"/>
      <family val="2"/>
    </font>
    <font>
      <sz val="10"/>
      <color theme="0"/>
      <name val="Arial"/>
      <family val="2"/>
    </font>
    <font>
      <b/>
      <sz val="14"/>
      <color theme="0" tint="-0.499984740745262"/>
      <name val="Arial"/>
      <family val="2"/>
    </font>
    <font>
      <i/>
      <sz val="7.5"/>
      <color theme="1"/>
      <name val="Arial"/>
      <family val="2"/>
    </font>
    <font>
      <vertAlign val="superscript"/>
      <sz val="9"/>
      <color theme="1"/>
      <name val="Arial"/>
      <family val="2"/>
    </font>
    <font>
      <vertAlign val="superscript"/>
      <sz val="10"/>
      <color theme="0" tint="-4.9989318521683403E-2"/>
      <name val="Arial"/>
      <family val="2"/>
    </font>
    <font>
      <b/>
      <sz val="9"/>
      <color indexed="81"/>
      <name val="Tahoma"/>
      <family val="2"/>
    </font>
    <font>
      <b/>
      <sz val="12"/>
      <name val="Arial"/>
      <family val="2"/>
    </font>
    <font>
      <i/>
      <sz val="12"/>
      <color theme="0"/>
      <name val="Arial"/>
      <family val="2"/>
    </font>
    <font>
      <i/>
      <sz val="8"/>
      <color theme="1"/>
      <name val="Calibri"/>
      <family val="2"/>
      <scheme val="minor"/>
    </font>
    <font>
      <u/>
      <sz val="11"/>
      <color rgb="FF00647F"/>
      <name val="Calibri"/>
      <family val="2"/>
      <scheme val="minor"/>
    </font>
  </fonts>
  <fills count="7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gray125">
        <fgColor indexed="8"/>
        <bgColor indexed="9"/>
      </patternFill>
    </fill>
    <fill>
      <patternFill patternType="solid">
        <fgColor indexed="31"/>
        <bgColor indexed="64"/>
      </patternFill>
    </fill>
    <fill>
      <patternFill patternType="solid">
        <fgColor rgb="FF00508C"/>
        <bgColor indexed="64"/>
      </patternFill>
    </fill>
    <fill>
      <patternFill patternType="solid">
        <fgColor indexed="57"/>
        <bgColor indexed="64"/>
      </patternFill>
    </fill>
    <fill>
      <patternFill patternType="solid">
        <fgColor indexed="47"/>
        <bgColor indexed="64"/>
      </patternFill>
    </fill>
    <fill>
      <patternFill patternType="solid">
        <fgColor indexed="42"/>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5"/>
        <bgColor indexed="64"/>
      </patternFill>
    </fill>
    <fill>
      <patternFill patternType="solid">
        <fgColor theme="6" tint="-0.24994659260841701"/>
        <bgColor indexed="64"/>
      </patternFill>
    </fill>
    <fill>
      <patternFill patternType="solid">
        <fgColor theme="9" tint="0.5999633777886288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55"/>
      </patternFill>
    </fill>
    <fill>
      <patternFill patternType="solid">
        <fgColor indexed="9"/>
      </patternFill>
    </fill>
    <fill>
      <patternFill patternType="mediumGray">
        <fgColor indexed="9"/>
        <bgColor indexed="22"/>
      </patternFill>
    </fill>
    <fill>
      <patternFill patternType="solid">
        <fgColor indexed="63"/>
      </patternFill>
    </fill>
    <fill>
      <patternFill patternType="solid">
        <fgColor indexed="22"/>
      </patternFill>
    </fill>
    <fill>
      <patternFill patternType="solid">
        <fgColor indexed="44"/>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rgb="FFC5D9F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62"/>
      </patternFill>
    </fill>
    <fill>
      <patternFill patternType="gray0625">
        <fgColor indexed="9"/>
        <bgColor indexed="9"/>
      </patternFill>
    </fill>
    <fill>
      <patternFill patternType="solid">
        <fgColor indexed="16"/>
        <bgColor indexed="16"/>
      </patternFill>
    </fill>
    <fill>
      <patternFill patternType="solid">
        <fgColor indexed="48"/>
        <bgColor indexed="23"/>
      </patternFill>
    </fill>
    <fill>
      <patternFill patternType="lightGray">
        <fgColor indexed="9"/>
        <bgColor indexed="9"/>
      </patternFill>
    </fill>
    <fill>
      <patternFill patternType="solid">
        <fgColor indexed="16"/>
        <bgColor indexed="64"/>
      </patternFill>
    </fill>
    <fill>
      <patternFill patternType="solid">
        <fgColor theme="0"/>
        <bgColor indexed="64"/>
      </patternFill>
    </fill>
    <fill>
      <patternFill patternType="solid">
        <fgColor rgb="FF00647F"/>
        <bgColor indexed="64"/>
      </patternFill>
    </fill>
    <fill>
      <patternFill patternType="solid">
        <fgColor rgb="FFD5D4D4"/>
        <bgColor indexed="64"/>
      </patternFill>
    </fill>
    <fill>
      <patternFill patternType="solid">
        <fgColor rgb="FFDCE6F1"/>
        <bgColor rgb="FF000000"/>
      </patternFill>
    </fill>
    <fill>
      <patternFill patternType="solid">
        <fgColor rgb="FFDBE5F1"/>
        <bgColor rgb="FF000000"/>
      </patternFill>
    </fill>
  </fills>
  <borders count="72">
    <border>
      <left/>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rgb="FFAAAFB4"/>
      </left>
      <right/>
      <top/>
      <bottom/>
      <diagonal/>
    </border>
    <border>
      <left/>
      <right style="thin">
        <color rgb="FFAAAFB4"/>
      </right>
      <top/>
      <bottom/>
      <diagonal/>
    </border>
    <border>
      <left style="thin">
        <color rgb="FFAAAFB4"/>
      </left>
      <right/>
      <top/>
      <bottom style="thin">
        <color rgb="FFAAAFB4"/>
      </bottom>
      <diagonal/>
    </border>
    <border>
      <left/>
      <right/>
      <top/>
      <bottom style="thin">
        <color rgb="FFAAAFB4"/>
      </bottom>
      <diagonal/>
    </border>
    <border>
      <left/>
      <right style="thin">
        <color rgb="FFAAAFB4"/>
      </right>
      <top/>
      <bottom style="thin">
        <color rgb="FFAAAFB4"/>
      </bottom>
      <diagonal/>
    </border>
    <border>
      <left style="thin">
        <color rgb="FFAAAFB4"/>
      </left>
      <right/>
      <top style="thin">
        <color rgb="FFAAAFB4"/>
      </top>
      <bottom/>
      <diagonal/>
    </border>
    <border>
      <left/>
      <right/>
      <top style="thin">
        <color rgb="FFAAAFB4"/>
      </top>
      <bottom/>
      <diagonal/>
    </border>
    <border>
      <left/>
      <right style="thin">
        <color rgb="FFAAAFB4"/>
      </right>
      <top style="thin">
        <color rgb="FFAAAFB4"/>
      </top>
      <bottom/>
      <diagonal/>
    </border>
    <border>
      <left style="thin">
        <color rgb="FFAAAFB4"/>
      </left>
      <right/>
      <top style="thin">
        <color rgb="FFAAAFB4"/>
      </top>
      <bottom style="thin">
        <color rgb="FFAAAFB4"/>
      </bottom>
      <diagonal/>
    </border>
    <border>
      <left/>
      <right/>
      <top style="thin">
        <color rgb="FFAAAFB4"/>
      </top>
      <bottom style="thin">
        <color rgb="FFAAAFB4"/>
      </bottom>
      <diagonal/>
    </border>
    <border>
      <left/>
      <right style="thin">
        <color rgb="FFAAAFB4"/>
      </right>
      <top style="thin">
        <color rgb="FFAAAFB4"/>
      </top>
      <bottom style="thin">
        <color rgb="FFAAAFB4"/>
      </bottom>
      <diagonal/>
    </border>
    <border>
      <left style="dotted">
        <color indexed="42"/>
      </left>
      <right style="dotted">
        <color indexed="42"/>
      </right>
      <top style="dotted">
        <color indexed="42"/>
      </top>
      <bottom style="dotted">
        <color indexed="42"/>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medium">
        <color indexed="17"/>
      </left>
      <right style="medium">
        <color indexed="17"/>
      </right>
      <top style="medium">
        <color indexed="17"/>
      </top>
      <bottom style="medium">
        <color indexed="17"/>
      </bottom>
      <diagonal/>
    </border>
    <border>
      <left style="hair">
        <color indexed="42"/>
      </left>
      <right style="hair">
        <color indexed="42"/>
      </right>
      <top style="hair">
        <color indexed="42"/>
      </top>
      <bottom style="hair">
        <color indexed="42"/>
      </bottom>
      <diagonal/>
    </border>
    <border>
      <left style="medium">
        <color rgb="FF00863D"/>
      </left>
      <right style="medium">
        <color rgb="FF00863D"/>
      </right>
      <top style="medium">
        <color rgb="FF00863D"/>
      </top>
      <bottom style="medium">
        <color rgb="FF00863D"/>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22"/>
      </left>
      <right style="hair">
        <color indexed="22"/>
      </right>
      <top style="hair">
        <color indexed="22"/>
      </top>
      <bottom style="hair">
        <color indexed="22"/>
      </bottom>
      <diagonal/>
    </border>
    <border>
      <left/>
      <right/>
      <top style="hair">
        <color indexed="22"/>
      </top>
      <bottom/>
      <diagonal/>
    </border>
    <border>
      <left/>
      <right/>
      <top/>
      <bottom style="medium">
        <color indexed="63"/>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style="thin">
        <color rgb="FF0077AD"/>
      </left>
      <right/>
      <top style="thin">
        <color rgb="FF0077AD"/>
      </top>
      <bottom style="thin">
        <color rgb="FF0077AD"/>
      </bottom>
      <diagonal/>
    </border>
    <border>
      <left/>
      <right/>
      <top style="thin">
        <color rgb="FF0077AD"/>
      </top>
      <bottom style="thin">
        <color rgb="FF0077AD"/>
      </bottom>
      <diagonal/>
    </border>
    <border>
      <left/>
      <right style="thin">
        <color rgb="FF0077AD"/>
      </right>
      <top style="thin">
        <color rgb="FF0077AD"/>
      </top>
      <bottom style="thin">
        <color rgb="FF0077AD"/>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77111117893"/>
      </bottom>
      <diagonal/>
    </border>
    <border>
      <left/>
      <right style="double">
        <color indexed="64"/>
      </right>
      <top/>
      <bottom/>
      <diagonal/>
    </border>
    <border>
      <left style="thick">
        <color rgb="FF0077B7"/>
      </left>
      <right/>
      <top/>
      <bottom/>
      <diagonal/>
    </border>
    <border>
      <left style="thin">
        <color rgb="FFD5D4D4"/>
      </left>
      <right/>
      <top style="thin">
        <color rgb="FFD5D4D4"/>
      </top>
      <bottom style="thin">
        <color rgb="FFD5D4D4"/>
      </bottom>
      <diagonal/>
    </border>
    <border>
      <left/>
      <right/>
      <top style="thin">
        <color rgb="FFD5D4D4"/>
      </top>
      <bottom style="thin">
        <color rgb="FFD5D4D4"/>
      </bottom>
      <diagonal/>
    </border>
    <border>
      <left/>
      <right style="thin">
        <color rgb="FFD5D4D4"/>
      </right>
      <top style="thin">
        <color rgb="FFD5D4D4"/>
      </top>
      <bottom style="thin">
        <color rgb="FFD5D4D4"/>
      </bottom>
      <diagonal/>
    </border>
    <border>
      <left style="thin">
        <color rgb="FFD5D4D4"/>
      </left>
      <right/>
      <top style="thin">
        <color rgb="FFD5D4D4"/>
      </top>
      <bottom/>
      <diagonal/>
    </border>
    <border>
      <left/>
      <right/>
      <top style="thin">
        <color rgb="FFD5D4D4"/>
      </top>
      <bottom/>
      <diagonal/>
    </border>
    <border>
      <left/>
      <right style="thin">
        <color rgb="FFD5D4D4"/>
      </right>
      <top style="thin">
        <color rgb="FFD5D4D4"/>
      </top>
      <bottom/>
      <diagonal/>
    </border>
    <border>
      <left style="thin">
        <color rgb="FFD5D4D4"/>
      </left>
      <right/>
      <top/>
      <bottom/>
      <diagonal/>
    </border>
    <border>
      <left/>
      <right style="thin">
        <color rgb="FFD5D4D4"/>
      </right>
      <top/>
      <bottom/>
      <diagonal/>
    </border>
    <border>
      <left style="thin">
        <color rgb="FFD5D4D4"/>
      </left>
      <right/>
      <top/>
      <bottom style="thin">
        <color rgb="FFD5D4D4"/>
      </bottom>
      <diagonal/>
    </border>
    <border>
      <left/>
      <right/>
      <top/>
      <bottom style="thin">
        <color rgb="FFD5D4D4"/>
      </bottom>
      <diagonal/>
    </border>
    <border>
      <left/>
      <right style="thin">
        <color rgb="FFD5D4D4"/>
      </right>
      <top/>
      <bottom style="thin">
        <color rgb="FFD5D4D4"/>
      </bottom>
      <diagonal/>
    </border>
    <border>
      <left style="thin">
        <color rgb="FFAAAFB4"/>
      </left>
      <right/>
      <top style="thin">
        <color theme="0" tint="-0.249977111117893"/>
      </top>
      <bottom/>
      <diagonal/>
    </border>
    <border>
      <left/>
      <right/>
      <top style="thin">
        <color theme="0" tint="-0.249977111117893"/>
      </top>
      <bottom/>
      <diagonal/>
    </border>
    <border>
      <left/>
      <right style="thin">
        <color rgb="FFAAAFB4"/>
      </right>
      <top style="thin">
        <color theme="0" tint="-0.249977111117893"/>
      </top>
      <bottom/>
      <diagonal/>
    </border>
  </borders>
  <cellStyleXfs count="1924">
    <xf numFmtId="0" fontId="0" fillId="0" borderId="0"/>
    <xf numFmtId="9" fontId="1" fillId="0" borderId="0" applyFont="0" applyFill="0" applyBorder="0" applyAlignment="0" applyProtection="0"/>
    <xf numFmtId="0" fontId="3" fillId="0" borderId="0" applyProtection="0">
      <alignment vertical="center"/>
    </xf>
    <xf numFmtId="0" fontId="6" fillId="0" borderId="2" applyNumberFormat="0" applyFill="0" applyAlignment="0" applyProtection="0"/>
    <xf numFmtId="0" fontId="5" fillId="20" borderId="0" applyNumberFormat="0" applyBorder="0" applyAlignment="0" applyProtection="0"/>
    <xf numFmtId="0" fontId="4" fillId="0" borderId="3" applyNumberFormat="0" applyFill="0" applyProtection="0">
      <alignment horizontal="center" vertical="center" wrapText="1"/>
    </xf>
    <xf numFmtId="166" fontId="3" fillId="0" borderId="0" applyFont="0" applyFill="0" applyBorder="0" applyAlignment="0" applyProtection="0">
      <alignment vertical="center"/>
    </xf>
    <xf numFmtId="0" fontId="8" fillId="21" borderId="0" applyNumberFormat="0" applyBorder="0">
      <alignment horizontal="right"/>
      <protection locked="0"/>
    </xf>
    <xf numFmtId="0" fontId="8" fillId="21" borderId="0" applyNumberFormat="0" applyBorder="0">
      <alignment horizontal="right"/>
      <protection locked="0"/>
    </xf>
    <xf numFmtId="9" fontId="4" fillId="0" borderId="0" applyFont="0" applyFill="0" applyBorder="0" applyAlignment="0" applyProtection="0"/>
    <xf numFmtId="0" fontId="4" fillId="22" borderId="3" applyNumberFormat="0" applyAlignment="0" applyProtection="0"/>
    <xf numFmtId="0" fontId="7" fillId="0" borderId="0" applyNumberFormat="0" applyFill="0" applyBorder="0" applyProtection="0"/>
    <xf numFmtId="0" fontId="4" fillId="0" borderId="0"/>
    <xf numFmtId="0" fontId="4" fillId="0" borderId="0" applyFont="0" applyFill="0" applyBorder="0" applyProtection="0">
      <alignment horizontal="center" vertical="center"/>
    </xf>
    <xf numFmtId="14" fontId="4" fillId="0" borderId="0" applyFont="0" applyFill="0" applyBorder="0" applyProtection="0">
      <alignment horizontal="center" vertical="center"/>
    </xf>
    <xf numFmtId="0" fontId="21" fillId="0" borderId="0" applyNumberFormat="0" applyFill="0" applyBorder="0" applyAlignment="0" applyProtection="0"/>
    <xf numFmtId="0" fontId="22" fillId="24" borderId="15" applyNumberFormat="0" applyProtection="0">
      <alignment horizontal="center" vertical="center" wrapText="1"/>
    </xf>
    <xf numFmtId="0" fontId="19" fillId="25" borderId="16" applyNumberFormat="0" applyProtection="0">
      <alignment horizontal="center" vertical="center" wrapText="1"/>
    </xf>
    <xf numFmtId="0" fontId="4" fillId="0" borderId="0" applyNumberFormat="0" applyFont="0" applyFill="0" applyBorder="0" applyAlignment="0" applyProtection="0"/>
    <xf numFmtId="4" fontId="4" fillId="0" borderId="0" applyFont="0" applyFill="0" applyBorder="0" applyProtection="0">
      <alignment horizontal="right" vertical="center"/>
    </xf>
    <xf numFmtId="167" fontId="20" fillId="0" borderId="0" applyFill="0" applyBorder="0" applyProtection="0">
      <alignment horizontal="right" vertical="center"/>
    </xf>
    <xf numFmtId="0" fontId="19" fillId="26" borderId="17" applyNumberFormat="0" applyAlignment="0" applyProtection="0"/>
    <xf numFmtId="0" fontId="23" fillId="0" borderId="0">
      <alignment horizontal="right" vertical="center" wrapText="1"/>
    </xf>
    <xf numFmtId="0" fontId="4" fillId="0" borderId="18" applyNumberFormat="0" applyFont="0" applyFill="0" applyAlignment="0" applyProtection="0"/>
    <xf numFmtId="0" fontId="4" fillId="0" borderId="0" applyFont="0" applyFill="0" applyBorder="0" applyProtection="0">
      <alignment vertical="center"/>
    </xf>
    <xf numFmtId="0" fontId="7" fillId="33" borderId="0" applyNumberFormat="0" applyBorder="0" applyProtection="0"/>
    <xf numFmtId="0" fontId="24" fillId="2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4" fillId="4" borderId="0" applyNumberFormat="0" applyBorder="0" applyAlignment="0" applyProtection="0"/>
    <xf numFmtId="0" fontId="24" fillId="28"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4" fillId="7" borderId="0" applyNumberFormat="0" applyBorder="0" applyAlignment="0" applyProtection="0"/>
    <xf numFmtId="0" fontId="24" fillId="29"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4" fillId="10" borderId="0" applyNumberFormat="0" applyBorder="0" applyAlignment="0" applyProtection="0"/>
    <xf numFmtId="0" fontId="24" fillId="3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4" fillId="13" borderId="0" applyNumberFormat="0" applyBorder="0" applyAlignment="0" applyProtection="0"/>
    <xf numFmtId="0" fontId="24" fillId="3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4" fillId="16" borderId="0" applyNumberFormat="0" applyBorder="0" applyAlignment="0" applyProtection="0"/>
    <xf numFmtId="0" fontId="24" fillId="32"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4" fillId="19" borderId="0" applyNumberFormat="0" applyBorder="0" applyAlignment="0" applyProtection="0"/>
    <xf numFmtId="0" fontId="28" fillId="34" borderId="19" applyNumberFormat="0" applyProtection="0">
      <alignment horizontal="center" vertical="center" wrapText="1"/>
    </xf>
    <xf numFmtId="0" fontId="19" fillId="35" borderId="16" applyNumberFormat="0" applyProtection="0">
      <alignment horizontal="center" vertical="center" wrapText="1"/>
    </xf>
    <xf numFmtId="0" fontId="27" fillId="0" borderId="0" applyNumberFormat="0" applyFill="0" applyBorder="0" applyAlignment="0" applyProtection="0"/>
    <xf numFmtId="2" fontId="4" fillId="0" borderId="0" applyFont="0" applyFill="0" applyBorder="0" applyProtection="0">
      <alignment horizontal="right" vertical="center"/>
    </xf>
    <xf numFmtId="168" fontId="4" fillId="0" borderId="0" applyFont="0" applyFill="0" applyBorder="0" applyProtection="0">
      <alignment horizontal="right" vertical="center"/>
    </xf>
    <xf numFmtId="1" fontId="23" fillId="0" borderId="0" applyFill="0" applyBorder="0" applyProtection="0">
      <alignment horizontal="right" vertical="center" wrapText="1"/>
    </xf>
    <xf numFmtId="1" fontId="26" fillId="0" borderId="0" applyFill="0" applyBorder="0" applyProtection="0">
      <alignment horizontal="right"/>
    </xf>
    <xf numFmtId="0" fontId="4" fillId="0" borderId="20" applyNumberFormat="0" applyFont="0" applyFill="0" applyAlignment="0" applyProtection="0"/>
    <xf numFmtId="0" fontId="1" fillId="0" borderId="0"/>
    <xf numFmtId="165" fontId="1" fillId="0" borderId="0" applyFont="0" applyFill="0" applyBorder="0" applyAlignment="0" applyProtection="0"/>
    <xf numFmtId="0" fontId="4" fillId="0" borderId="0"/>
    <xf numFmtId="170" fontId="35" fillId="0" borderId="29" applyNumberFormat="0" applyBorder="0" applyProtection="0">
      <alignment horizontal="center" vertical="center"/>
    </xf>
    <xf numFmtId="14" fontId="36" fillId="39" borderId="0" applyNumberFormat="0" applyBorder="0" applyProtection="0">
      <alignment horizontal="left" vertical="center" wrapText="1"/>
    </xf>
    <xf numFmtId="0" fontId="37" fillId="40" borderId="0" applyNumberFormat="0" applyBorder="0" applyProtection="0"/>
    <xf numFmtId="171" fontId="37" fillId="40" borderId="29" applyNumberFormat="0" applyBorder="0" applyProtection="0">
      <alignment horizontal="center" vertical="center"/>
    </xf>
    <xf numFmtId="3" fontId="38" fillId="40" borderId="29" applyNumberFormat="0" applyBorder="0" applyProtection="0">
      <alignment horizontal="right" vertical="center"/>
    </xf>
    <xf numFmtId="172" fontId="38" fillId="40" borderId="29" applyNumberFormat="0" applyBorder="0" applyProtection="0">
      <alignment horizontal="right" vertical="center"/>
    </xf>
    <xf numFmtId="4" fontId="37" fillId="40" borderId="29" applyNumberFormat="0" applyBorder="0" applyProtection="0">
      <alignment horizontal="right" vertical="center"/>
    </xf>
    <xf numFmtId="173" fontId="37" fillId="40" borderId="29" applyNumberFormat="0" applyBorder="0" applyProtection="0">
      <alignment horizontal="right" vertical="center"/>
    </xf>
    <xf numFmtId="172" fontId="39" fillId="0" borderId="0" applyNumberFormat="0" applyBorder="0" applyProtection="0"/>
    <xf numFmtId="0" fontId="40" fillId="40" borderId="29" applyNumberFormat="0" applyBorder="0" applyProtection="0">
      <alignment horizontal="right" vertical="center"/>
    </xf>
    <xf numFmtId="0" fontId="39" fillId="41" borderId="0" applyNumberFormat="0" applyBorder="0" applyProtection="0"/>
    <xf numFmtId="0" fontId="41" fillId="0" borderId="29" applyNumberFormat="0" applyBorder="0" applyProtection="0">
      <alignment horizontal="right" vertical="center"/>
    </xf>
    <xf numFmtId="0" fontId="42" fillId="42" borderId="0" applyNumberFormat="0" applyBorder="0" applyProtection="0">
      <alignment horizontal="left" vertical="center"/>
    </xf>
    <xf numFmtId="165" fontId="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9" fontId="37" fillId="0" borderId="29" applyNumberFormat="0" applyBorder="0" applyProtection="0">
      <alignment horizontal="right" vertical="center"/>
    </xf>
    <xf numFmtId="169" fontId="37" fillId="0" borderId="29" applyNumberFormat="0" applyBorder="0" applyProtection="0"/>
    <xf numFmtId="10" fontId="37" fillId="0" borderId="29" applyNumberFormat="0" applyBorder="0" applyProtection="0"/>
    <xf numFmtId="0" fontId="43" fillId="0" borderId="30" applyNumberFormat="0" applyAlignment="0" applyProtection="0"/>
    <xf numFmtId="0" fontId="4" fillId="0" borderId="0" applyNumberFormat="0" applyBorder="0" applyProtection="0">
      <alignment horizontal="center" wrapText="1"/>
    </xf>
    <xf numFmtId="0" fontId="44" fillId="42" borderId="0" applyNumberFormat="0" applyBorder="0" applyProtection="0">
      <alignment horizontal="left"/>
    </xf>
    <xf numFmtId="0" fontId="45" fillId="0" borderId="29" applyNumberFormat="0" applyBorder="0" applyProtection="0">
      <alignment wrapText="1"/>
    </xf>
    <xf numFmtId="14" fontId="46" fillId="39" borderId="0" applyNumberFormat="0" applyBorder="0" applyProtection="0">
      <alignment horizontal="center" vertical="center"/>
    </xf>
    <xf numFmtId="0" fontId="47" fillId="39" borderId="29" applyNumberFormat="0" applyBorder="0" applyProtection="0">
      <alignment horizontal="centerContinuous" vertical="center" wrapText="1"/>
    </xf>
    <xf numFmtId="14" fontId="48" fillId="43" borderId="0" applyNumberFormat="0" applyBorder="0" applyProtection="0">
      <alignment horizontal="right" vertical="center"/>
    </xf>
    <xf numFmtId="171" fontId="48" fillId="40" borderId="29" applyNumberFormat="0" applyBorder="0" applyProtection="0"/>
    <xf numFmtId="14" fontId="46" fillId="39" borderId="31" applyNumberFormat="0" applyBorder="0" applyProtection="0">
      <alignment horizontal="left" vertical="center" wrapText="1"/>
    </xf>
    <xf numFmtId="0" fontId="4" fillId="0" borderId="0"/>
    <xf numFmtId="0" fontId="28" fillId="34" borderId="19" applyNumberFormat="0" applyProtection="0">
      <alignment horizontal="center" vertical="center" wrapText="1"/>
    </xf>
    <xf numFmtId="0" fontId="52" fillId="0" borderId="3" applyNumberFormat="0" applyFill="0" applyProtection="0">
      <alignment horizontal="center" vertical="center" wrapText="1"/>
    </xf>
    <xf numFmtId="174" fontId="4" fillId="0" borderId="0" applyFont="0" applyFill="0" applyBorder="0" applyAlignment="0" applyProtection="0"/>
    <xf numFmtId="0" fontId="4" fillId="0" borderId="0">
      <alignment horizontal="left" wrapText="1"/>
    </xf>
    <xf numFmtId="0" fontId="4" fillId="0" borderId="0"/>
    <xf numFmtId="0" fontId="52" fillId="0" borderId="3" applyNumberFormat="0" applyFill="0" applyProtection="0">
      <alignment horizontal="center" vertical="center" wrapText="1"/>
    </xf>
    <xf numFmtId="17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lignment horizontal="left" wrapText="1"/>
    </xf>
    <xf numFmtId="0" fontId="4" fillId="0" borderId="0">
      <alignment horizontal="left" wrapText="1"/>
    </xf>
    <xf numFmtId="0" fontId="52" fillId="0" borderId="3" applyNumberFormat="0" applyFill="0" applyProtection="0">
      <alignment horizontal="center" vertical="center" wrapText="1"/>
    </xf>
    <xf numFmtId="0" fontId="52" fillId="0" borderId="3" applyNumberFormat="0" applyFill="0" applyProtection="0">
      <alignment horizontal="center" vertical="center" wrapText="1"/>
    </xf>
    <xf numFmtId="0" fontId="52" fillId="0" borderId="3" applyNumberFormat="0" applyFill="0" applyProtection="0">
      <alignment horizontal="center" vertical="center" wrapText="1"/>
    </xf>
    <xf numFmtId="0" fontId="52" fillId="0" borderId="3" applyNumberFormat="0" applyFill="0" applyProtection="0">
      <alignment horizontal="center" vertical="center" wrapText="1"/>
    </xf>
    <xf numFmtId="0" fontId="52" fillId="0" borderId="3" applyNumberFormat="0" applyFill="0" applyProtection="0">
      <alignment horizontal="center" vertical="center" wrapText="1"/>
    </xf>
    <xf numFmtId="0" fontId="4" fillId="0" borderId="0"/>
    <xf numFmtId="0" fontId="4" fillId="0" borderId="0" applyFont="0" applyFill="0" applyBorder="0" applyProtection="0">
      <alignment horizontal="center" vertical="center"/>
    </xf>
    <xf numFmtId="14" fontId="4" fillId="0" borderId="0" applyFont="0" applyFill="0" applyBorder="0" applyProtection="0">
      <alignment horizontal="center" vertical="center"/>
    </xf>
    <xf numFmtId="0" fontId="21" fillId="0" borderId="0" applyNumberFormat="0" applyFill="0" applyBorder="0" applyAlignment="0" applyProtection="0"/>
    <xf numFmtId="0" fontId="22" fillId="24" borderId="15" applyNumberFormat="0" applyProtection="0">
      <alignment horizontal="center" vertical="center" wrapText="1"/>
    </xf>
    <xf numFmtId="0" fontId="19" fillId="25" borderId="16" applyNumberFormat="0" applyProtection="0">
      <alignment horizontal="center" vertical="center" wrapText="1"/>
    </xf>
    <xf numFmtId="0" fontId="4" fillId="0" borderId="0" applyNumberFormat="0" applyFont="0" applyFill="0" applyBorder="0" applyAlignment="0" applyProtection="0"/>
    <xf numFmtId="4" fontId="4" fillId="0" borderId="0" applyFont="0" applyFill="0" applyBorder="0" applyProtection="0">
      <alignment horizontal="right" vertical="center"/>
    </xf>
    <xf numFmtId="167" fontId="20" fillId="0" borderId="0" applyFill="0" applyBorder="0" applyProtection="0">
      <alignment horizontal="right" vertical="center"/>
    </xf>
    <xf numFmtId="0" fontId="19" fillId="26" borderId="17" applyNumberFormat="0" applyAlignment="0" applyProtection="0"/>
    <xf numFmtId="0" fontId="4" fillId="0" borderId="18" applyNumberFormat="0" applyFont="0" applyFill="0" applyAlignment="0" applyProtection="0"/>
    <xf numFmtId="0" fontId="4" fillId="0" borderId="0" applyFont="0" applyFill="0" applyBorder="0" applyProtection="0">
      <alignment vertical="center"/>
    </xf>
    <xf numFmtId="9" fontId="4" fillId="0" borderId="0" quotePrefix="1" applyFont="0" applyFill="0" applyBorder="0" applyAlignment="0">
      <protection locked="0"/>
    </xf>
    <xf numFmtId="0" fontId="4" fillId="0" borderId="0" applyFont="0" applyFill="0" applyBorder="0" applyProtection="0">
      <alignment horizontal="center" vertical="center"/>
    </xf>
    <xf numFmtId="0" fontId="4" fillId="46" borderId="0" applyNumberFormat="0" applyFont="0" applyAlignment="0"/>
    <xf numFmtId="0" fontId="4" fillId="0" borderId="0">
      <alignment horizontal="left" wrapText="1"/>
    </xf>
    <xf numFmtId="0" fontId="1" fillId="0" borderId="0"/>
    <xf numFmtId="0" fontId="4" fillId="0" borderId="0" applyFont="0" applyFill="0" applyBorder="0" applyProtection="0">
      <alignment horizontal="center" vertical="center"/>
    </xf>
    <xf numFmtId="0" fontId="57" fillId="47" borderId="32" applyNumberFormat="0" applyFont="0" applyBorder="0" applyAlignment="0" applyProtection="0">
      <alignment horizontal="centerContinuous"/>
    </xf>
    <xf numFmtId="0" fontId="4" fillId="0" borderId="0">
      <alignment horizontal="left" wrapText="1"/>
    </xf>
    <xf numFmtId="0" fontId="57" fillId="47" borderId="32" applyNumberFormat="0" applyFont="0" applyBorder="0" applyAlignment="0" applyProtection="0">
      <alignment horizontal="centerContinuous"/>
    </xf>
    <xf numFmtId="0" fontId="4" fillId="46" borderId="0" applyNumberFormat="0" applyFont="0" applyAlignment="0"/>
    <xf numFmtId="0" fontId="4" fillId="0" borderId="0" applyFont="0" applyFill="0" applyBorder="0" applyProtection="0">
      <alignment horizontal="center" vertical="center"/>
    </xf>
    <xf numFmtId="0" fontId="57" fillId="47" borderId="32" applyNumberFormat="0" applyFont="0" applyBorder="0" applyAlignment="0" applyProtection="0">
      <alignment horizontal="centerContinuous"/>
    </xf>
    <xf numFmtId="0" fontId="4" fillId="0" borderId="0">
      <alignment horizontal="left" wrapText="1"/>
    </xf>
    <xf numFmtId="0" fontId="1" fillId="0" borderId="0"/>
    <xf numFmtId="10" fontId="56" fillId="44" borderId="36" applyNumberFormat="0" applyAlignment="0">
      <alignment horizontal="right"/>
    </xf>
    <xf numFmtId="0" fontId="4" fillId="46" borderId="0" applyNumberFormat="0" applyFont="0" applyAlignment="0"/>
    <xf numFmtId="14" fontId="4" fillId="0" borderId="0" applyFont="0" applyFill="0" applyBorder="0" applyProtection="0">
      <alignment horizontal="center" vertical="center"/>
    </xf>
    <xf numFmtId="14" fontId="4" fillId="0" borderId="0" applyFont="0" applyFill="0" applyBorder="0" applyProtection="0">
      <alignment horizontal="center" vertical="center"/>
    </xf>
    <xf numFmtId="0" fontId="57" fillId="0" borderId="0"/>
    <xf numFmtId="0" fontId="57" fillId="0" borderId="0"/>
    <xf numFmtId="0" fontId="57"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19" fillId="25" borderId="16" applyNumberFormat="0" applyProtection="0">
      <alignment horizontal="center" vertical="center" wrapText="1"/>
    </xf>
    <xf numFmtId="0" fontId="19" fillId="25" borderId="16" applyNumberFormat="0" applyProtection="0">
      <alignment horizontal="center" vertical="center" wrapText="1"/>
    </xf>
    <xf numFmtId="0" fontId="52" fillId="48" borderId="37" applyNumberFormat="0" applyProtection="0">
      <alignment horizontal="center" vertical="center" wrapText="1"/>
    </xf>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58" fillId="41" borderId="33" applyNumberFormat="0" applyFont="0" applyBorder="0" applyAlignment="0">
      <alignment horizontal="centerContinuous"/>
    </xf>
    <xf numFmtId="0" fontId="58" fillId="41" borderId="33" applyNumberFormat="0" applyFont="0" applyBorder="0" applyAlignment="0">
      <alignment horizontal="centerContinuous"/>
    </xf>
    <xf numFmtId="0" fontId="58" fillId="41" borderId="33" applyNumberFormat="0" applyFont="0" applyBorder="0" applyAlignment="0">
      <alignment horizontal="centerContinuous"/>
    </xf>
    <xf numFmtId="10" fontId="59" fillId="49" borderId="36" applyNumberFormat="0" applyAlignment="0">
      <protection locked="0"/>
    </xf>
    <xf numFmtId="0" fontId="60" fillId="45" borderId="36" applyNumberFormat="0" applyBorder="0" applyAlignment="0">
      <alignment horizontal="right"/>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3" fillId="0" borderId="0" applyProtection="0">
      <alignment vertical="center"/>
    </xf>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4" fontId="4" fillId="0" borderId="0" applyFont="0" applyFill="0" applyBorder="0" applyProtection="0">
      <alignment horizontal="right" vertical="center"/>
    </xf>
    <xf numFmtId="4" fontId="4" fillId="0" borderId="0" applyFont="0" applyFill="0" applyBorder="0" applyProtection="0">
      <alignment horizontal="right" vertical="center"/>
    </xf>
    <xf numFmtId="176" fontId="56" fillId="50" borderId="36" applyNumberFormat="0" applyAlignment="0"/>
    <xf numFmtId="167" fontId="20" fillId="0" borderId="0" applyFill="0" applyBorder="0" applyProtection="0">
      <alignment horizontal="right" vertical="center"/>
    </xf>
    <xf numFmtId="167" fontId="20" fillId="0" borderId="0" applyFill="0" applyBorder="0" applyProtection="0">
      <alignment horizontal="right" vertical="center"/>
    </xf>
    <xf numFmtId="167" fontId="20" fillId="0" borderId="0" applyFill="0" applyBorder="0" applyProtection="0">
      <alignment horizontal="right" vertical="center"/>
    </xf>
    <xf numFmtId="0" fontId="19" fillId="26" borderId="17" applyNumberFormat="0" applyAlignment="0" applyProtection="0"/>
    <xf numFmtId="0" fontId="19" fillId="26" borderId="17" applyNumberFormat="0" applyAlignment="0" applyProtection="0"/>
    <xf numFmtId="0" fontId="19" fillId="26" borderId="17" applyNumberFormat="0" applyAlignment="0" applyProtection="0"/>
    <xf numFmtId="0" fontId="4" fillId="0" borderId="0"/>
    <xf numFmtId="0" fontId="4" fillId="0" borderId="18" applyNumberFormat="0" applyFont="0" applyFill="0" applyAlignment="0" applyProtection="0"/>
    <xf numFmtId="0" fontId="4" fillId="0" borderId="18" applyNumberFormat="0" applyFont="0" applyFill="0" applyAlignment="0" applyProtection="0"/>
    <xf numFmtId="0" fontId="4" fillId="0" borderId="0" applyFont="0" applyFill="0" applyBorder="0" applyProtection="0">
      <alignment vertical="center"/>
    </xf>
    <xf numFmtId="0" fontId="4" fillId="0" borderId="0" applyFont="0" applyFill="0" applyBorder="0" applyProtection="0">
      <alignment vertical="center"/>
    </xf>
    <xf numFmtId="0" fontId="4" fillId="0" borderId="0" applyFont="0" applyFill="0" applyBorder="0" applyProtection="0">
      <alignment vertical="center"/>
    </xf>
    <xf numFmtId="0" fontId="7" fillId="0" borderId="0" applyNumberFormat="0" applyFill="0" applyBorder="0" applyProtection="0"/>
    <xf numFmtId="0" fontId="7" fillId="0" borderId="0" applyNumberFormat="0" applyFill="0" applyBorder="0" applyProtection="0"/>
    <xf numFmtId="0" fontId="57" fillId="0" borderId="0">
      <alignment horizontal="center"/>
    </xf>
    <xf numFmtId="0" fontId="57" fillId="0" borderId="0">
      <alignment horizontal="center"/>
    </xf>
    <xf numFmtId="0" fontId="57" fillId="0" borderId="0">
      <alignment horizontal="center"/>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66" fillId="0" borderId="0" applyNumberForma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9" fontId="1" fillId="0" borderId="0" applyFont="0" applyFill="0" applyBorder="0" applyAlignment="0" applyProtection="0"/>
    <xf numFmtId="0" fontId="69" fillId="0" borderId="0" applyNumberForma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9"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0" fontId="28" fillId="34" borderId="19" applyNumberFormat="0" applyProtection="0">
      <alignment horizontal="center" vertical="center" wrapText="1"/>
    </xf>
    <xf numFmtId="0" fontId="28" fillId="34" borderId="19" applyNumberFormat="0" applyProtection="0">
      <alignment horizontal="center" vertical="center" wrapText="1"/>
    </xf>
    <xf numFmtId="0" fontId="28" fillId="34" borderId="19" applyNumberFormat="0" applyProtection="0">
      <alignment horizontal="center" vertical="center" wrapText="1"/>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4" fillId="0" borderId="0"/>
    <xf numFmtId="0" fontId="71" fillId="21" borderId="0" applyNumberFormat="0" applyBorder="0">
      <alignment horizontal="right"/>
      <protection locked="0"/>
    </xf>
    <xf numFmtId="0" fontId="5" fillId="20" borderId="0" applyNumberFormat="0" applyBorder="0" applyAlignment="0" applyProtection="0"/>
    <xf numFmtId="0" fontId="21" fillId="0" borderId="0" applyNumberFormat="0" applyFill="0" applyBorder="0" applyAlignment="0" applyProtection="0"/>
    <xf numFmtId="0" fontId="22" fillId="24" borderId="15" applyNumberFormat="0" applyProtection="0">
      <alignment horizontal="center" vertical="center" wrapText="1"/>
    </xf>
    <xf numFmtId="0" fontId="4" fillId="0" borderId="0" applyNumberFormat="0" applyFill="0" applyBorder="0" applyAlignment="0" applyProtection="0"/>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180" fontId="4" fillId="0" borderId="0" applyFont="0" applyFill="0" applyBorder="0" applyAlignment="0" applyProtection="0"/>
    <xf numFmtId="166" fontId="4" fillId="0" borderId="0" applyFont="0" applyFill="0" applyBorder="0" applyAlignment="0" applyProtection="0"/>
    <xf numFmtId="180" fontId="4" fillId="0" borderId="0" applyFont="0" applyFill="0" applyBorder="0" applyAlignment="0" applyProtection="0"/>
    <xf numFmtId="166" fontId="4" fillId="0" borderId="0" applyFont="0" applyFill="0" applyBorder="0" applyAlignment="0" applyProtection="0"/>
    <xf numFmtId="180"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2" fontId="39" fillId="0" borderId="0" applyNumberFormat="0" applyBorder="0" applyProtection="0"/>
    <xf numFmtId="172" fontId="39" fillId="0" borderId="0" applyNumberFormat="0" applyBorder="0" applyProtection="0"/>
    <xf numFmtId="181" fontId="75" fillId="47" borderId="42">
      <alignment horizontal="left"/>
    </xf>
    <xf numFmtId="0" fontId="4" fillId="43" borderId="0" applyNumberFormat="0" applyBorder="0" applyAlignment="0" applyProtection="0"/>
    <xf numFmtId="0" fontId="4" fillId="0" borderId="0" applyNumberFormat="0" applyFill="0" applyBorder="0" applyAlignment="0" applyProtection="0"/>
    <xf numFmtId="0" fontId="72" fillId="0" borderId="29" applyNumberFormat="0" applyAlignment="0" applyProtection="0"/>
    <xf numFmtId="0" fontId="76" fillId="40" borderId="0" applyNumberFormat="0" applyAlignment="0" applyProtection="0"/>
    <xf numFmtId="0" fontId="77" fillId="0" borderId="29" applyNumberFormat="0" applyAlignment="0" applyProtection="0"/>
    <xf numFmtId="0" fontId="78" fillId="65" borderId="0" applyNumberFormat="0" applyAlignment="0" applyProtection="0"/>
    <xf numFmtId="0" fontId="74" fillId="0" borderId="0" applyNumberFormat="0" applyFill="0" applyBorder="0" applyAlignment="0" applyProtection="0">
      <alignment vertical="top"/>
      <protection locked="0"/>
    </xf>
    <xf numFmtId="0" fontId="71" fillId="21" borderId="0" applyNumberFormat="0" applyBorder="0">
      <alignment horizontal="right"/>
      <protection locked="0"/>
    </xf>
    <xf numFmtId="0" fontId="79" fillId="66" borderId="0" applyNumberFormat="0" applyBorder="0">
      <alignment horizontal="right"/>
      <protection locked="0"/>
    </xf>
    <xf numFmtId="0" fontId="80" fillId="66" borderId="0" applyNumberFormat="0" applyBorder="0">
      <alignment horizontal="right"/>
      <protection locked="0"/>
    </xf>
    <xf numFmtId="0" fontId="80" fillId="66" borderId="0" applyNumberFormat="0" applyBorder="0">
      <alignment horizontal="right"/>
      <protection locked="0"/>
    </xf>
    <xf numFmtId="0" fontId="81" fillId="67" borderId="0" applyNumberFormat="0" applyBorder="0">
      <alignment horizontal="right"/>
      <protection locked="0"/>
    </xf>
    <xf numFmtId="0" fontId="82" fillId="66" borderId="0" applyNumberFormat="0" applyBorder="0">
      <alignment horizontal="right"/>
      <protection locked="0"/>
    </xf>
    <xf numFmtId="17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4" fontId="4" fillId="0" borderId="0" applyFont="0" applyFill="0" applyBorder="0" applyAlignment="0" applyProtection="0"/>
    <xf numFmtId="165" fontId="85" fillId="0" borderId="0" applyFont="0" applyFill="0" applyBorder="0" applyAlignment="0" applyProtection="0"/>
    <xf numFmtId="4" fontId="4" fillId="0" borderId="56" applyFont="0" applyFill="0" applyBorder="0" applyAlignment="0" applyProtection="0">
      <alignment horizontal="left"/>
    </xf>
    <xf numFmtId="4" fontId="4" fillId="0" borderId="56" applyFont="0" applyFill="0" applyBorder="0" applyAlignment="0" applyProtection="0">
      <alignment horizontal="left"/>
    </xf>
    <xf numFmtId="0" fontId="8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86"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Protection="0">
      <alignment vertical="center"/>
    </xf>
    <xf numFmtId="0" fontId="4" fillId="0" borderId="0"/>
    <xf numFmtId="0" fontId="3" fillId="0" borderId="0" applyProtection="0">
      <alignment vertical="center"/>
    </xf>
    <xf numFmtId="0" fontId="85" fillId="0" borderId="0"/>
    <xf numFmtId="4" fontId="4" fillId="0" borderId="0" applyFont="0" applyFill="0" applyBorder="0" applyProtection="0">
      <alignment horizontal="right" vertical="center"/>
    </xf>
    <xf numFmtId="4" fontId="4" fillId="0" borderId="0" applyFont="0" applyFill="0" applyBorder="0" applyProtection="0">
      <alignment horizontal="right" vertical="center"/>
    </xf>
    <xf numFmtId="17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85" fillId="0" borderId="0" applyFont="0" applyFill="0" applyBorder="0" applyAlignment="0" applyProtection="0"/>
    <xf numFmtId="0" fontId="4" fillId="0" borderId="0" applyNumberFormat="0" applyFont="0" applyBorder="0" applyAlignment="0"/>
    <xf numFmtId="179" fontId="4" fillId="0" borderId="0" applyFont="0" applyFill="0" applyBorder="0" applyAlignment="0" applyProtection="0"/>
    <xf numFmtId="1" fontId="26" fillId="0" borderId="0" applyFill="0" applyBorder="0" applyProtection="0">
      <alignment horizontal="right"/>
    </xf>
    <xf numFmtId="0" fontId="4" fillId="0" borderId="0" applyNumberFormat="0" applyBorder="0" applyProtection="0">
      <alignment horizontal="center" wrapText="1"/>
    </xf>
    <xf numFmtId="0" fontId="7" fillId="33" borderId="0" applyNumberFormat="0" applyBorder="0" applyProtection="0"/>
    <xf numFmtId="0" fontId="7" fillId="0" borderId="0" applyNumberFormat="0" applyFill="0" applyBorder="0" applyProtection="0"/>
    <xf numFmtId="0" fontId="7" fillId="0" borderId="0" applyNumberFormat="0" applyFill="0" applyBorder="0" applyProtection="0"/>
    <xf numFmtId="0" fontId="83" fillId="68" borderId="0" applyNumberFormat="0" applyBorder="0">
      <alignment horizontal="left"/>
      <protection locked="0"/>
    </xf>
    <xf numFmtId="0" fontId="73" fillId="66" borderId="0" applyNumberFormat="0" applyBorder="0">
      <alignment horizontal="left"/>
      <protection locked="0"/>
    </xf>
    <xf numFmtId="0" fontId="79" fillId="69" borderId="0" applyNumberFormat="0" applyBorder="0">
      <alignment horizontal="left"/>
      <protection locked="0"/>
    </xf>
    <xf numFmtId="0" fontId="84" fillId="66" borderId="0" applyNumberFormat="0" applyBorder="0">
      <alignment horizontal="left"/>
      <protection locked="0"/>
    </xf>
    <xf numFmtId="0" fontId="71" fillId="21" borderId="0" applyNumberFormat="0" applyBorder="0">
      <alignment horizontal="right"/>
      <protection locked="0"/>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179" fontId="4" fillId="0" borderId="0" applyFont="0" applyFill="0" applyBorder="0" applyAlignment="0" applyProtection="0"/>
    <xf numFmtId="0" fontId="22" fillId="24" borderId="15" applyNumberFormat="0" applyProtection="0">
      <alignment horizontal="center" vertical="center" wrapText="1"/>
    </xf>
    <xf numFmtId="0" fontId="71" fillId="21" borderId="0" applyNumberFormat="0" applyBorder="0">
      <alignment horizontal="right"/>
      <protection locked="0"/>
    </xf>
    <xf numFmtId="0" fontId="71" fillId="21" borderId="0" applyNumberFormat="0" applyBorder="0">
      <alignment horizontal="right"/>
      <protection locked="0"/>
    </xf>
    <xf numFmtId="0" fontId="4" fillId="0" borderId="3" applyNumberFormat="0" applyFill="0" applyProtection="0">
      <alignment horizontal="center" vertical="center" wrapText="1"/>
    </xf>
    <xf numFmtId="0" fontId="4" fillId="0" borderId="3" applyNumberFormat="0" applyFill="0" applyProtection="0">
      <alignment horizontal="center" vertical="center" wrapText="1"/>
    </xf>
    <xf numFmtId="179" fontId="4" fillId="0" borderId="0" applyFont="0" applyFill="0" applyBorder="0" applyAlignment="0" applyProtection="0"/>
    <xf numFmtId="0" fontId="71" fillId="21" borderId="0" applyNumberFormat="0" applyBorder="0">
      <alignment horizontal="right"/>
      <protection locked="0"/>
    </xf>
    <xf numFmtId="179" fontId="4" fillId="0" borderId="0" applyFont="0" applyFill="0" applyBorder="0" applyAlignment="0" applyProtection="0"/>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71" fillId="21" borderId="0" applyNumberFormat="0" applyBorder="0">
      <alignment horizontal="right"/>
      <protection locked="0"/>
    </xf>
    <xf numFmtId="0" fontId="71" fillId="21" borderId="0" applyNumberFormat="0" applyBorder="0">
      <alignment horizontal="right"/>
      <protection locked="0"/>
    </xf>
    <xf numFmtId="0" fontId="1" fillId="0" borderId="0"/>
    <xf numFmtId="165" fontId="1" fillId="0" borderId="0" applyFont="0" applyFill="0" applyBorder="0" applyAlignment="0" applyProtection="0"/>
    <xf numFmtId="165" fontId="4" fillId="0" borderId="0" quotePrefix="1" applyFont="0" applyFill="0" applyBorder="0" applyAlignment="0">
      <protection locked="0"/>
    </xf>
    <xf numFmtId="0" fontId="87" fillId="0" borderId="0"/>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0" fontId="4" fillId="0" borderId="0"/>
    <xf numFmtId="164" fontId="4" fillId="0" borderId="0" applyFont="0" applyFill="0" applyBorder="0" applyAlignment="0" applyProtection="0"/>
    <xf numFmtId="17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9" fontId="4"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0" fontId="4" fillId="0" borderId="0"/>
    <xf numFmtId="0" fontId="9" fillId="0" borderId="0"/>
    <xf numFmtId="0" fontId="88" fillId="0" borderId="0"/>
    <xf numFmtId="0" fontId="88" fillId="0" borderId="0"/>
    <xf numFmtId="9" fontId="9" fillId="0" borderId="0" applyFont="0" applyFill="0" applyBorder="0" applyAlignment="0" applyProtection="0"/>
    <xf numFmtId="9" fontId="1" fillId="0" borderId="0" applyFont="0" applyFill="0" applyBorder="0" applyAlignment="0" applyProtection="0"/>
    <xf numFmtId="0" fontId="88" fillId="0" borderId="0"/>
    <xf numFmtId="14" fontId="4" fillId="0" borderId="0" applyFont="0" applyFill="0" applyBorder="0" applyProtection="0">
      <alignment horizontal="center" vertical="center"/>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4" fillId="0" borderId="3" applyNumberFormat="0" applyFill="0" applyProtection="0">
      <alignment horizontal="center" vertical="center" wrapText="1"/>
    </xf>
    <xf numFmtId="0" fontId="22" fillId="24" borderId="15" applyNumberFormat="0" applyProtection="0">
      <alignment horizontal="center" vertical="center" wrapText="1"/>
    </xf>
    <xf numFmtId="0" fontId="28" fillId="34" borderId="19"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52" fillId="0" borderId="3" applyNumberFormat="0" applyFill="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52" fillId="0" borderId="3" applyNumberFormat="0" applyFill="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22" fillId="24" borderId="15" applyNumberFormat="0" applyProtection="0">
      <alignment horizontal="center" vertical="center" wrapText="1"/>
    </xf>
    <xf numFmtId="0" fontId="19" fillId="25" borderId="16" applyNumberFormat="0" applyProtection="0">
      <alignment horizontal="center" vertical="center" wrapText="1"/>
    </xf>
    <xf numFmtId="0" fontId="52" fillId="48" borderId="37" applyNumberFormat="0" applyProtection="0">
      <alignment horizontal="center" vertical="center" wrapText="1"/>
    </xf>
    <xf numFmtId="165" fontId="1" fillId="0" borderId="0" applyFont="0" applyFill="0" applyBorder="0" applyAlignment="0" applyProtection="0"/>
    <xf numFmtId="174"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74"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74" fontId="4"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0" fontId="3" fillId="0" borderId="0" applyProtection="0">
      <alignment vertical="center"/>
    </xf>
    <xf numFmtId="0" fontId="85" fillId="0" borderId="0"/>
    <xf numFmtId="0" fontId="88" fillId="0" borderId="0"/>
    <xf numFmtId="0" fontId="88" fillId="0" borderId="0"/>
    <xf numFmtId="0" fontId="88" fillId="0" borderId="0"/>
    <xf numFmtId="0" fontId="4" fillId="0" borderId="0"/>
    <xf numFmtId="0" fontId="4" fillId="0" borderId="0"/>
    <xf numFmtId="0" fontId="1" fillId="0" borderId="0"/>
    <xf numFmtId="0" fontId="4" fillId="0" borderId="0"/>
    <xf numFmtId="0" fontId="3" fillId="0" borderId="0" applyProtection="0">
      <alignment vertical="center"/>
    </xf>
    <xf numFmtId="0" fontId="1" fillId="0" borderId="0"/>
    <xf numFmtId="0" fontId="4" fillId="0" borderId="0"/>
    <xf numFmtId="0" fontId="88" fillId="0" borderId="0"/>
    <xf numFmtId="0" fontId="4" fillId="0" borderId="0"/>
    <xf numFmtId="0" fontId="88" fillId="0" borderId="0"/>
    <xf numFmtId="0" fontId="4" fillId="0" borderId="0"/>
    <xf numFmtId="0" fontId="87" fillId="0" borderId="0"/>
    <xf numFmtId="0" fontId="87" fillId="0" borderId="0"/>
    <xf numFmtId="0" fontId="4" fillId="0" borderId="0"/>
    <xf numFmtId="0" fontId="1" fillId="0" borderId="0"/>
    <xf numFmtId="0" fontId="87" fillId="0" borderId="0"/>
    <xf numFmtId="0" fontId="4" fillId="0" borderId="0"/>
    <xf numFmtId="0" fontId="88" fillId="0" borderId="0"/>
    <xf numFmtId="0" fontId="89" fillId="0" borderId="0" applyFill="0" applyProtection="0"/>
    <xf numFmtId="0" fontId="89" fillId="0" borderId="0" applyFill="0" applyProtection="0"/>
    <xf numFmtId="0" fontId="89" fillId="0" borderId="0" applyFill="0" applyProtection="0"/>
    <xf numFmtId="0" fontId="1" fillId="0" borderId="0"/>
    <xf numFmtId="0" fontId="4" fillId="0" borderId="0"/>
    <xf numFmtId="0" fontId="89" fillId="0" borderId="0" applyFill="0" applyProtection="0"/>
    <xf numFmtId="0" fontId="1" fillId="0" borderId="0"/>
    <xf numFmtId="0" fontId="1" fillId="0" borderId="0"/>
    <xf numFmtId="0" fontId="4" fillId="0" borderId="0"/>
    <xf numFmtId="0" fontId="4" fillId="0" borderId="0"/>
    <xf numFmtId="0" fontId="1" fillId="0" borderId="0"/>
    <xf numFmtId="0" fontId="4" fillId="0" borderId="0"/>
    <xf numFmtId="0" fontId="3" fillId="0" borderId="0" applyProtection="0">
      <alignment vertical="center"/>
    </xf>
    <xf numFmtId="0" fontId="4" fillId="0" borderId="0"/>
    <xf numFmtId="0" fontId="85" fillId="0" borderId="0"/>
    <xf numFmtId="9" fontId="1" fillId="0" borderId="0" applyFont="0" applyFill="0" applyBorder="0" applyAlignment="0" applyProtection="0"/>
    <xf numFmtId="9" fontId="4" fillId="0" borderId="0" applyFont="0" applyFill="0" applyBorder="0" applyAlignment="0" applyProtection="0"/>
    <xf numFmtId="9" fontId="4" fillId="0" borderId="0" quotePrefix="1" applyFont="0" applyFill="0" applyBorder="0" applyAlignment="0">
      <protection locked="0"/>
    </xf>
    <xf numFmtId="9" fontId="1" fillId="0" borderId="0" applyFont="0" applyFill="0" applyBorder="0" applyAlignment="0" applyProtection="0"/>
    <xf numFmtId="9" fontId="4" fillId="0" borderId="0" quotePrefix="1" applyFont="0" applyFill="0" applyBorder="0" applyAlignment="0">
      <protection locked="0"/>
    </xf>
    <xf numFmtId="9" fontId="8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8" fillId="0" borderId="0" applyFont="0" applyFill="0" applyBorder="0" applyAlignment="0" applyProtection="0"/>
    <xf numFmtId="0" fontId="4" fillId="0" borderId="18" applyNumberFormat="0" applyFont="0" applyFill="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0" fontId="90" fillId="58" borderId="53" applyNumberFormat="0" applyFont="0" applyAlignment="0" applyProtection="0"/>
    <xf numFmtId="0" fontId="90" fillId="58" borderId="53" applyNumberFormat="0" applyFont="0" applyAlignment="0" applyProtection="0"/>
    <xf numFmtId="0" fontId="90" fillId="58" borderId="53" applyNumberFormat="0" applyFont="0" applyAlignment="0" applyProtection="0"/>
    <xf numFmtId="0" fontId="1" fillId="58" borderId="53" applyNumberFormat="0" applyFont="0" applyAlignment="0" applyProtection="0"/>
    <xf numFmtId="0" fontId="91" fillId="70" borderId="19" applyNumberFormat="0" applyProtection="0">
      <alignment horizontal="center" vertical="center" wrapText="1"/>
    </xf>
    <xf numFmtId="182" fontId="4" fillId="0" borderId="0" applyFont="0" applyFill="0" applyBorder="0" applyAlignment="0" applyProtection="0"/>
    <xf numFmtId="0" fontId="92" fillId="0" borderId="0" applyFont="0" applyFill="0" applyBorder="0" applyAlignment="0" applyProtection="0"/>
    <xf numFmtId="0" fontId="4" fillId="0" borderId="0"/>
    <xf numFmtId="181" fontId="4" fillId="0" borderId="0"/>
    <xf numFmtId="0" fontId="93" fillId="0" borderId="29" applyNumberFormat="0" applyBorder="0" applyProtection="0"/>
    <xf numFmtId="0" fontId="72" fillId="0" borderId="29" applyNumberFormat="0" applyBorder="0" applyProtection="0"/>
    <xf numFmtId="0" fontId="94" fillId="39" borderId="0" applyNumberFormat="0" applyBorder="0" applyProtection="0">
      <alignment vertical="center"/>
    </xf>
    <xf numFmtId="0" fontId="95" fillId="65" borderId="0" applyNumberFormat="0" applyBorder="0" applyProtection="0"/>
    <xf numFmtId="0" fontId="96" fillId="40" borderId="0" applyNumberFormat="0" applyBorder="0" applyProtection="0"/>
    <xf numFmtId="0" fontId="76" fillId="40" borderId="0" applyNumberFormat="0" applyBorder="0" applyProtection="0"/>
    <xf numFmtId="165" fontId="97" fillId="0" borderId="0" applyFont="0" applyFill="0" applyBorder="0" applyAlignment="0" applyProtection="0"/>
    <xf numFmtId="0" fontId="98" fillId="0" borderId="0"/>
    <xf numFmtId="0" fontId="39" fillId="0" borderId="0"/>
    <xf numFmtId="0" fontId="90" fillId="0" borderId="0"/>
    <xf numFmtId="4" fontId="4" fillId="0" borderId="0" applyFont="0" applyFill="0" applyBorder="0" applyProtection="0">
      <alignment horizontal="right" vertical="center"/>
      <protection locked="0"/>
    </xf>
    <xf numFmtId="9" fontId="97" fillId="0" borderId="0" applyFont="0" applyFill="0" applyBorder="0" applyAlignment="0" applyProtection="0"/>
    <xf numFmtId="9" fontId="97" fillId="0" borderId="0" applyFont="0" applyFill="0" applyBorder="0" applyAlignment="0" applyProtection="0"/>
    <xf numFmtId="0" fontId="85" fillId="0" borderId="0"/>
    <xf numFmtId="164" fontId="4" fillId="0" borderId="0" applyFont="0" applyFill="0" applyBorder="0" applyAlignment="0" applyProtection="0"/>
    <xf numFmtId="165" fontId="85" fillId="0" borderId="0" applyFont="0" applyFill="0" applyBorder="0" applyAlignment="0" applyProtection="0"/>
    <xf numFmtId="9" fontId="86" fillId="0" borderId="0" applyFont="0" applyFill="0" applyBorder="0" applyAlignment="0" applyProtection="0"/>
    <xf numFmtId="0" fontId="4" fillId="0" borderId="0"/>
    <xf numFmtId="9" fontId="4" fillId="0" borderId="0" applyFont="0" applyFill="0" applyBorder="0" applyAlignment="0" applyProtection="0"/>
    <xf numFmtId="183" fontId="4" fillId="0" borderId="0" applyFont="0" applyFill="0" applyBorder="0" applyAlignment="0" applyProtection="0"/>
    <xf numFmtId="0" fontId="67" fillId="52" borderId="0" applyNumberFormat="0" applyBorder="0" applyAlignment="0" applyProtection="0"/>
    <xf numFmtId="0" fontId="85" fillId="0" borderId="0"/>
    <xf numFmtId="165" fontId="85" fillId="0" borderId="0" applyFont="0" applyFill="0" applyBorder="0" applyAlignment="0" applyProtection="0"/>
    <xf numFmtId="9" fontId="85" fillId="0" borderId="0" applyFont="0" applyFill="0" applyBorder="0" applyAlignment="0" applyProtection="0"/>
    <xf numFmtId="0" fontId="4" fillId="0" borderId="0" applyNumberFormat="0" applyFont="0" applyBorder="0" applyAlignment="0"/>
    <xf numFmtId="0" fontId="86" fillId="0" borderId="0"/>
    <xf numFmtId="9" fontId="86" fillId="0" borderId="0" applyFont="0" applyFill="0" applyBorder="0" applyAlignment="0" applyProtection="0"/>
    <xf numFmtId="0" fontId="4" fillId="0" borderId="0"/>
    <xf numFmtId="0" fontId="85" fillId="0" borderId="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4" fillId="0" borderId="0"/>
    <xf numFmtId="0" fontId="99" fillId="0" borderId="0" applyNumberFormat="0" applyFill="0" applyAlignment="0" applyProtection="0"/>
    <xf numFmtId="0" fontId="85" fillId="0" borderId="0"/>
    <xf numFmtId="165" fontId="85" fillId="0" borderId="0" applyFont="0" applyFill="0" applyBorder="0" applyAlignment="0" applyProtection="0"/>
    <xf numFmtId="9" fontId="85"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5" fillId="0" borderId="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5" fillId="0" borderId="0"/>
    <xf numFmtId="0" fontId="86" fillId="0" borderId="0"/>
    <xf numFmtId="0" fontId="86" fillId="0" borderId="0"/>
    <xf numFmtId="165" fontId="86" fillId="0" borderId="0" applyFont="0" applyFill="0" applyBorder="0" applyAlignment="0" applyProtection="0"/>
    <xf numFmtId="9" fontId="86" fillId="0" borderId="0" applyFont="0" applyFill="0" applyBorder="0" applyAlignment="0" applyProtection="0"/>
    <xf numFmtId="0" fontId="4" fillId="0" borderId="0"/>
    <xf numFmtId="0" fontId="85"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4" fillId="0" borderId="0"/>
    <xf numFmtId="0" fontId="85" fillId="0" borderId="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0" fontId="86" fillId="0" borderId="0"/>
    <xf numFmtId="9" fontId="86" fillId="0" borderId="0" applyFont="0" applyFill="0" applyBorder="0" applyAlignment="0" applyProtection="0"/>
    <xf numFmtId="0" fontId="86" fillId="0" borderId="0"/>
    <xf numFmtId="165" fontId="8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85" fillId="0" borderId="0" applyFont="0" applyFill="0" applyBorder="0" applyAlignment="0" applyProtection="0"/>
    <xf numFmtId="165" fontId="85" fillId="0" borderId="0" applyFont="0" applyFill="0" applyBorder="0" applyAlignment="0" applyProtection="0"/>
    <xf numFmtId="0" fontId="85" fillId="0" borderId="0"/>
    <xf numFmtId="9" fontId="1" fillId="0" borderId="0" applyFont="0" applyFill="0" applyBorder="0" applyAlignment="0" applyProtection="0"/>
    <xf numFmtId="0" fontId="1" fillId="0" borderId="0"/>
    <xf numFmtId="0" fontId="101" fillId="0" borderId="46" applyNumberFormat="0" applyFill="0" applyAlignment="0" applyProtection="0"/>
    <xf numFmtId="0" fontId="102" fillId="0" borderId="47" applyNumberFormat="0" applyFill="0" applyAlignment="0" applyProtection="0"/>
    <xf numFmtId="0" fontId="103" fillId="0" borderId="48" applyNumberFormat="0" applyFill="0" applyAlignment="0" applyProtection="0"/>
    <xf numFmtId="0" fontId="103" fillId="0" borderId="0" applyNumberFormat="0" applyFill="0" applyBorder="0" applyAlignment="0" applyProtection="0"/>
    <xf numFmtId="0" fontId="104" fillId="52" borderId="0" applyNumberFormat="0" applyBorder="0" applyAlignment="0" applyProtection="0"/>
    <xf numFmtId="0" fontId="105" fillId="53" borderId="0" applyNumberFormat="0" applyBorder="0" applyAlignment="0" applyProtection="0"/>
    <xf numFmtId="0" fontId="106" fillId="54" borderId="0" applyNumberFormat="0" applyBorder="0" applyAlignment="0" applyProtection="0"/>
    <xf numFmtId="0" fontId="107" fillId="55" borderId="49" applyNumberFormat="0" applyAlignment="0" applyProtection="0"/>
    <xf numFmtId="0" fontId="108" fillId="56" borderId="50" applyNumberFormat="0" applyAlignment="0" applyProtection="0"/>
    <xf numFmtId="0" fontId="109" fillId="56" borderId="49" applyNumberFormat="0" applyAlignment="0" applyProtection="0"/>
    <xf numFmtId="0" fontId="110" fillId="0" borderId="51" applyNumberFormat="0" applyFill="0" applyAlignment="0" applyProtection="0"/>
    <xf numFmtId="0" fontId="111" fillId="57" borderId="52" applyNumberFormat="0" applyAlignment="0" applyProtection="0"/>
    <xf numFmtId="0" fontId="112" fillId="0" borderId="0" applyNumberFormat="0" applyFill="0" applyBorder="0" applyAlignment="0" applyProtection="0"/>
    <xf numFmtId="0" fontId="86" fillId="58" borderId="53" applyNumberFormat="0" applyFont="0" applyAlignment="0" applyProtection="0"/>
    <xf numFmtId="0" fontId="113" fillId="0" borderId="0" applyNumberFormat="0" applyFill="0" applyBorder="0" applyAlignment="0" applyProtection="0"/>
    <xf numFmtId="0" fontId="114" fillId="0" borderId="54" applyNumberFormat="0" applyFill="0" applyAlignment="0" applyProtection="0"/>
    <xf numFmtId="0" fontId="100" fillId="59" borderId="0" applyNumberFormat="0" applyBorder="0" applyAlignment="0" applyProtection="0"/>
    <xf numFmtId="0" fontId="86" fillId="2" borderId="0" applyNumberFormat="0" applyBorder="0" applyAlignment="0" applyProtection="0"/>
    <xf numFmtId="0" fontId="86" fillId="3" borderId="0" applyNumberFormat="0" applyBorder="0" applyAlignment="0" applyProtection="0"/>
    <xf numFmtId="0" fontId="100" fillId="4" borderId="0" applyNumberFormat="0" applyBorder="0" applyAlignment="0" applyProtection="0"/>
    <xf numFmtId="0" fontId="100" fillId="60" borderId="0" applyNumberFormat="0" applyBorder="0" applyAlignment="0" applyProtection="0"/>
    <xf numFmtId="0" fontId="86" fillId="5" borderId="0" applyNumberFormat="0" applyBorder="0" applyAlignment="0" applyProtection="0"/>
    <xf numFmtId="0" fontId="86" fillId="6" borderId="0" applyNumberFormat="0" applyBorder="0" applyAlignment="0" applyProtection="0"/>
    <xf numFmtId="0" fontId="100" fillId="7" borderId="0" applyNumberFormat="0" applyBorder="0" applyAlignment="0" applyProtection="0"/>
    <xf numFmtId="0" fontId="100" fillId="61" borderId="0" applyNumberFormat="0" applyBorder="0" applyAlignment="0" applyProtection="0"/>
    <xf numFmtId="0" fontId="86" fillId="8" borderId="0" applyNumberFormat="0" applyBorder="0" applyAlignment="0" applyProtection="0"/>
    <xf numFmtId="0" fontId="86" fillId="9" borderId="0" applyNumberFormat="0" applyBorder="0" applyAlignment="0" applyProtection="0"/>
    <xf numFmtId="0" fontId="100" fillId="10" borderId="0" applyNumberFormat="0" applyBorder="0" applyAlignment="0" applyProtection="0"/>
    <xf numFmtId="0" fontId="100" fillId="62" borderId="0" applyNumberFormat="0" applyBorder="0" applyAlignment="0" applyProtection="0"/>
    <xf numFmtId="0" fontId="86" fillId="11" borderId="0" applyNumberFormat="0" applyBorder="0" applyAlignment="0" applyProtection="0"/>
    <xf numFmtId="0" fontId="86" fillId="12" borderId="0" applyNumberFormat="0" applyBorder="0" applyAlignment="0" applyProtection="0"/>
    <xf numFmtId="0" fontId="100" fillId="13" borderId="0" applyNumberFormat="0" applyBorder="0" applyAlignment="0" applyProtection="0"/>
    <xf numFmtId="0" fontId="100" fillId="63"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100" fillId="16" borderId="0" applyNumberFormat="0" applyBorder="0" applyAlignment="0" applyProtection="0"/>
    <xf numFmtId="0" fontId="100" fillId="64"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100" fillId="19" borderId="0" applyNumberFormat="0" applyBorder="0" applyAlignment="0" applyProtection="0"/>
    <xf numFmtId="0" fontId="115" fillId="0" borderId="0" applyNumberForma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165" fontId="97" fillId="0" borderId="0" applyFont="0" applyFill="0" applyBorder="0" applyAlignment="0" applyProtection="0"/>
    <xf numFmtId="164" fontId="4"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165" fontId="97" fillId="0" borderId="0" applyFont="0" applyFill="0" applyBorder="0" applyAlignment="0" applyProtection="0"/>
    <xf numFmtId="164" fontId="4"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165" fontId="97" fillId="0" borderId="0" applyFont="0" applyFill="0" applyBorder="0" applyAlignment="0" applyProtection="0"/>
    <xf numFmtId="164" fontId="4"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165" fontId="97" fillId="0" borderId="0" applyFont="0" applyFill="0" applyBorder="0" applyAlignment="0" applyProtection="0"/>
    <xf numFmtId="164" fontId="4"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85" fillId="0" borderId="0" applyFont="0" applyFill="0" applyBorder="0" applyAlignment="0" applyProtection="0"/>
    <xf numFmtId="165" fontId="1" fillId="0" borderId="0" applyFont="0" applyFill="0" applyBorder="0" applyAlignment="0" applyProtection="0"/>
    <xf numFmtId="165" fontId="4" fillId="0" borderId="0" quotePrefix="1" applyFont="0" applyFill="0" applyBorder="0" applyAlignment="0">
      <protection locked="0"/>
    </xf>
    <xf numFmtId="165" fontId="1"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4" fillId="0" borderId="0" applyFont="0" applyFill="0" applyBorder="0" applyAlignment="0" applyProtection="0"/>
    <xf numFmtId="165" fontId="4" fillId="0" borderId="0" quotePrefix="1" applyFont="0" applyFill="0" applyBorder="0" applyAlignment="0">
      <protection locked="0"/>
    </xf>
    <xf numFmtId="165" fontId="4" fillId="0" borderId="0" quotePrefix="1" applyFont="0" applyFill="0" applyBorder="0" applyAlignment="0">
      <protection locked="0"/>
    </xf>
    <xf numFmtId="165" fontId="4" fillId="0" borderId="0" quotePrefix="1" applyFont="0" applyFill="0" applyBorder="0" applyAlignment="0">
      <protection locked="0"/>
    </xf>
    <xf numFmtId="165" fontId="1" fillId="0" borderId="0" applyFont="0" applyFill="0" applyBorder="0" applyAlignment="0" applyProtection="0"/>
    <xf numFmtId="165" fontId="88"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4" fontId="70"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70" fillId="0" borderId="0" applyFont="0" applyFill="0" applyBorder="0" applyAlignment="0" applyProtection="0"/>
    <xf numFmtId="165" fontId="86" fillId="0" borderId="0" applyFont="0" applyFill="0" applyBorder="0" applyAlignment="0" applyProtection="0"/>
    <xf numFmtId="165" fontId="97" fillId="0" borderId="0" applyFont="0" applyFill="0" applyBorder="0" applyAlignment="0" applyProtection="0"/>
    <xf numFmtId="164" fontId="4" fillId="0" borderId="0" applyFont="0" applyFill="0" applyBorder="0" applyAlignment="0" applyProtection="0"/>
    <xf numFmtId="165" fontId="85"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165" fontId="85" fillId="0" borderId="0" applyFont="0" applyFill="0" applyBorder="0" applyAlignment="0" applyProtection="0"/>
    <xf numFmtId="0" fontId="115" fillId="0" borderId="0" applyNumberFormat="0" applyFill="0" applyBorder="0" applyAlignment="0" applyProtection="0"/>
  </cellStyleXfs>
  <cellXfs count="397">
    <xf numFmtId="0" fontId="0" fillId="0" borderId="0" xfId="0"/>
    <xf numFmtId="0" fontId="0" fillId="0" borderId="0" xfId="0"/>
    <xf numFmtId="0" fontId="9" fillId="0" borderId="0" xfId="0" applyFont="1" applyFill="1" applyBorder="1" applyAlignment="1"/>
    <xf numFmtId="0" fontId="9" fillId="0" borderId="0" xfId="0" applyFont="1" applyAlignment="1"/>
    <xf numFmtId="0" fontId="9" fillId="0" borderId="0" xfId="0" applyFont="1" applyBorder="1"/>
    <xf numFmtId="0" fontId="13" fillId="0" borderId="0" xfId="0" applyFont="1" applyAlignment="1"/>
    <xf numFmtId="0" fontId="9" fillId="0" borderId="0" xfId="0" applyFont="1" applyBorder="1" applyAlignment="1"/>
    <xf numFmtId="0" fontId="9" fillId="0" borderId="4" xfId="0" applyFont="1" applyFill="1" applyBorder="1" applyAlignment="1"/>
    <xf numFmtId="0" fontId="9" fillId="0" borderId="5" xfId="0" applyFont="1" applyFill="1" applyBorder="1" applyAlignment="1"/>
    <xf numFmtId="0" fontId="9" fillId="0" borderId="4"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applyAlignment="1"/>
    <xf numFmtId="0" fontId="9" fillId="0" borderId="8" xfId="0" applyFont="1" applyBorder="1" applyAlignment="1"/>
    <xf numFmtId="0" fontId="9" fillId="0" borderId="6" xfId="0" applyFont="1" applyFill="1" applyBorder="1" applyAlignment="1"/>
    <xf numFmtId="0" fontId="9" fillId="0" borderId="7" xfId="0" applyFont="1" applyFill="1" applyBorder="1" applyAlignment="1"/>
    <xf numFmtId="0" fontId="9" fillId="0" borderId="8" xfId="0" applyFont="1" applyFill="1" applyBorder="1" applyAlignment="1"/>
    <xf numFmtId="0" fontId="13" fillId="0" borderId="0" xfId="0" applyFont="1" applyAlignment="1">
      <alignment vertical="top"/>
    </xf>
    <xf numFmtId="0" fontId="13" fillId="0" borderId="0" xfId="0" applyFont="1" applyBorder="1" applyAlignment="1">
      <alignment horizontal="right" vertical="top"/>
    </xf>
    <xf numFmtId="0" fontId="12" fillId="0" borderId="0" xfId="0" applyFont="1" applyFill="1" applyBorder="1" applyAlignment="1">
      <alignment vertical="top" wrapText="1"/>
    </xf>
    <xf numFmtId="0" fontId="14" fillId="0" borderId="4" xfId="0" applyFont="1" applyFill="1" applyBorder="1" applyAlignment="1">
      <alignment vertical="top"/>
    </xf>
    <xf numFmtId="0" fontId="12" fillId="0" borderId="0" xfId="0" applyFont="1" applyFill="1" applyBorder="1" applyAlignment="1">
      <alignment vertical="top"/>
    </xf>
    <xf numFmtId="0" fontId="12" fillId="0" borderId="7" xfId="0" applyFont="1" applyFill="1" applyBorder="1" applyAlignment="1">
      <alignment vertical="top"/>
    </xf>
    <xf numFmtId="0" fontId="12" fillId="0" borderId="7" xfId="0" applyFont="1" applyFill="1" applyBorder="1" applyAlignment="1">
      <alignment vertical="top" wrapText="1"/>
    </xf>
    <xf numFmtId="0" fontId="14" fillId="0" borderId="6" xfId="0" applyFont="1" applyFill="1" applyBorder="1" applyAlignment="1">
      <alignment vertical="top"/>
    </xf>
    <xf numFmtId="0" fontId="9" fillId="0" borderId="0" xfId="0" applyFont="1" applyBorder="1" applyAlignment="1">
      <alignment vertical="top"/>
    </xf>
    <xf numFmtId="0" fontId="9" fillId="0" borderId="0" xfId="0" applyFont="1" applyAlignment="1">
      <alignment horizontal="center"/>
    </xf>
    <xf numFmtId="0" fontId="12" fillId="0" borderId="0" xfId="0" applyFont="1" applyBorder="1" applyAlignment="1">
      <alignment vertical="center"/>
    </xf>
    <xf numFmtId="0" fontId="14" fillId="0" borderId="0" xfId="0" applyFont="1" applyFill="1" applyBorder="1" applyAlignment="1">
      <alignment vertical="top"/>
    </xf>
    <xf numFmtId="0" fontId="0" fillId="0" borderId="0" xfId="0" applyAlignment="1"/>
    <xf numFmtId="0" fontId="12"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vertical="top" wrapText="1"/>
    </xf>
    <xf numFmtId="0" fontId="33" fillId="0" borderId="0" xfId="0" applyFont="1" applyFill="1" applyBorder="1" applyAlignment="1">
      <alignment horizontal="right" vertical="top" wrapText="1"/>
    </xf>
    <xf numFmtId="0" fontId="33" fillId="0" borderId="0" xfId="0" applyFont="1" applyFill="1" applyBorder="1" applyAlignment="1">
      <alignment horizontal="right" vertical="top"/>
    </xf>
    <xf numFmtId="0" fontId="31" fillId="0" borderId="0" xfId="0" applyFont="1" applyFill="1" applyBorder="1" applyAlignment="1">
      <alignment vertical="top"/>
    </xf>
    <xf numFmtId="0" fontId="12" fillId="0" borderId="0" xfId="0" applyFont="1" applyBorder="1" applyAlignment="1">
      <alignment vertical="top"/>
    </xf>
    <xf numFmtId="0" fontId="33" fillId="0" borderId="0" xfId="0" applyFont="1" applyBorder="1" applyAlignment="1">
      <alignment vertical="top"/>
    </xf>
    <xf numFmtId="0" fontId="0" fillId="0" borderId="0" xfId="0"/>
    <xf numFmtId="0" fontId="9" fillId="0" borderId="0" xfId="0" applyFont="1" applyAlignment="1"/>
    <xf numFmtId="0" fontId="13" fillId="0" borderId="0" xfId="0" applyFont="1" applyAlignment="1">
      <alignment horizontal="right" vertical="top"/>
    </xf>
    <xf numFmtId="0" fontId="12" fillId="0" borderId="0" xfId="0" applyFont="1" applyAlignment="1"/>
    <xf numFmtId="0" fontId="13" fillId="0" borderId="5" xfId="0" applyFont="1" applyBorder="1" applyAlignment="1">
      <alignment horizontal="right" vertical="top"/>
    </xf>
    <xf numFmtId="0" fontId="0" fillId="0" borderId="0" xfId="0"/>
    <xf numFmtId="0" fontId="9" fillId="0" borderId="0" xfId="0" applyFont="1" applyAlignment="1"/>
    <xf numFmtId="0" fontId="9" fillId="0" borderId="0" xfId="0" applyFont="1" applyBorder="1" applyAlignment="1"/>
    <xf numFmtId="0" fontId="13" fillId="0" borderId="0" xfId="0" applyFont="1" applyBorder="1" applyAlignment="1">
      <alignment horizontal="right" vertical="top"/>
    </xf>
    <xf numFmtId="0" fontId="9" fillId="0" borderId="0" xfId="0" applyFont="1"/>
    <xf numFmtId="0" fontId="13" fillId="0" borderId="0" xfId="0" applyFont="1" applyAlignment="1">
      <alignment horizontal="right" vertical="top"/>
    </xf>
    <xf numFmtId="0" fontId="16" fillId="0" borderId="0" xfId="0" applyFont="1"/>
    <xf numFmtId="0" fontId="9" fillId="0" borderId="4" xfId="0" applyFont="1" applyFill="1" applyBorder="1" applyAlignment="1"/>
    <xf numFmtId="10" fontId="0" fillId="0" borderId="0" xfId="1" applyNumberFormat="1" applyFont="1" applyAlignment="1">
      <alignment horizontal="center"/>
    </xf>
    <xf numFmtId="0" fontId="0" fillId="0" borderId="0" xfId="0" applyAlignment="1"/>
    <xf numFmtId="0" fontId="0" fillId="0" borderId="0" xfId="0"/>
    <xf numFmtId="0" fontId="0" fillId="0" borderId="0" xfId="0" applyAlignment="1">
      <alignment vertical="center"/>
    </xf>
    <xf numFmtId="10" fontId="0" fillId="0" borderId="0" xfId="1" applyNumberFormat="1" applyFont="1"/>
    <xf numFmtId="0" fontId="0" fillId="0" borderId="0" xfId="0" applyAlignment="1">
      <alignment horizontal="right"/>
    </xf>
    <xf numFmtId="4" fontId="0" fillId="0" borderId="0" xfId="0" applyNumberFormat="1"/>
    <xf numFmtId="4" fontId="0" fillId="0" borderId="0" xfId="0" applyNumberFormat="1" applyAlignment="1">
      <alignment horizontal="right"/>
    </xf>
    <xf numFmtId="4" fontId="0" fillId="37" borderId="0" xfId="59" applyNumberFormat="1" applyFont="1" applyFill="1" applyAlignment="1">
      <alignment horizontal="right"/>
    </xf>
    <xf numFmtId="49" fontId="2" fillId="37" borderId="22" xfId="0" applyNumberFormat="1" applyFont="1" applyFill="1" applyBorder="1" applyAlignment="1">
      <alignment horizontal="center" vertical="center"/>
    </xf>
    <xf numFmtId="4" fontId="2" fillId="37" borderId="22" xfId="0" applyNumberFormat="1" applyFont="1" applyFill="1" applyBorder="1" applyAlignment="1">
      <alignment horizontal="center" vertical="center"/>
    </xf>
    <xf numFmtId="4" fontId="2" fillId="37" borderId="22" xfId="0" applyNumberFormat="1" applyFont="1" applyFill="1" applyBorder="1" applyAlignment="1">
      <alignment horizontal="right" vertical="center"/>
    </xf>
    <xf numFmtId="49" fontId="2" fillId="37" borderId="22" xfId="0" applyNumberFormat="1" applyFont="1" applyFill="1" applyBorder="1" applyAlignment="1">
      <alignment horizontal="right" vertical="center"/>
    </xf>
    <xf numFmtId="0" fontId="0" fillId="0" borderId="0" xfId="0" applyFill="1"/>
    <xf numFmtId="4" fontId="0" fillId="0" borderId="0" xfId="0" applyNumberFormat="1" applyFill="1"/>
    <xf numFmtId="4" fontId="0" fillId="0" borderId="0" xfId="0" applyNumberFormat="1" applyFill="1" applyAlignment="1">
      <alignment horizontal="right"/>
    </xf>
    <xf numFmtId="0" fontId="0" fillId="0" borderId="0" xfId="0" applyFill="1" applyAlignment="1">
      <alignment horizontal="right"/>
    </xf>
    <xf numFmtId="49" fontId="2" fillId="0" borderId="22" xfId="0" applyNumberFormat="1" applyFont="1" applyFill="1" applyBorder="1" applyAlignment="1">
      <alignment horizontal="center" vertical="center"/>
    </xf>
    <xf numFmtId="0" fontId="0" fillId="0" borderId="0" xfId="0" applyFill="1" applyBorder="1"/>
    <xf numFmtId="0" fontId="0" fillId="38" borderId="0" xfId="0" applyFill="1"/>
    <xf numFmtId="49" fontId="0" fillId="38" borderId="0" xfId="0" applyNumberFormat="1" applyFill="1" applyAlignment="1">
      <alignment vertical="center"/>
    </xf>
    <xf numFmtId="10" fontId="0" fillId="0" borderId="0" xfId="1" applyNumberFormat="1" applyFont="1" applyFill="1" applyAlignment="1">
      <alignment horizontal="center"/>
    </xf>
    <xf numFmtId="0" fontId="49" fillId="0" borderId="0" xfId="0" applyFont="1" applyFill="1"/>
    <xf numFmtId="0" fontId="49" fillId="0" borderId="0" xfId="0" applyFont="1"/>
    <xf numFmtId="0" fontId="49" fillId="0" borderId="0" xfId="0" applyFont="1" applyAlignment="1">
      <alignment vertical="center"/>
    </xf>
    <xf numFmtId="0" fontId="33" fillId="0" borderId="0" xfId="0" applyFont="1" applyAlignment="1"/>
    <xf numFmtId="0" fontId="34" fillId="0" borderId="0" xfId="0" applyFont="1"/>
    <xf numFmtId="4" fontId="0" fillId="37" borderId="0" xfId="59" applyNumberFormat="1" applyFont="1" applyFill="1" applyAlignment="1">
      <alignment horizontal="right"/>
    </xf>
    <xf numFmtId="0" fontId="0" fillId="38" borderId="0" xfId="0" applyFill="1"/>
    <xf numFmtId="10" fontId="0" fillId="0" borderId="0" xfId="1" applyNumberFormat="1" applyFont="1" applyFill="1" applyAlignment="1">
      <alignment horizontal="center"/>
    </xf>
    <xf numFmtId="0" fontId="0" fillId="0" borderId="0" xfId="0"/>
    <xf numFmtId="0" fontId="53" fillId="38" borderId="0" xfId="0" applyFont="1" applyFill="1" applyAlignment="1">
      <alignment horizontal="center"/>
    </xf>
    <xf numFmtId="0" fontId="9" fillId="0" borderId="0" xfId="0" applyFont="1" applyAlignment="1"/>
    <xf numFmtId="0" fontId="9" fillId="0" borderId="0" xfId="0" applyFont="1" applyBorder="1"/>
    <xf numFmtId="0" fontId="13" fillId="0" borderId="0" xfId="0" applyFont="1" applyAlignment="1">
      <alignment horizontal="right" vertical="top"/>
    </xf>
    <xf numFmtId="0" fontId="9" fillId="0" borderId="4" xfId="0" applyFont="1" applyBorder="1"/>
    <xf numFmtId="0" fontId="9" fillId="0" borderId="5" xfId="0" applyFont="1" applyBorder="1"/>
    <xf numFmtId="0" fontId="9" fillId="0" borderId="7" xfId="0" applyFont="1" applyBorder="1"/>
    <xf numFmtId="0" fontId="9" fillId="0" borderId="8" xfId="0" applyFont="1" applyBorder="1"/>
    <xf numFmtId="0" fontId="9" fillId="0" borderId="6" xfId="0" applyFont="1" applyBorder="1"/>
    <xf numFmtId="0" fontId="0" fillId="0" borderId="0" xfId="0"/>
    <xf numFmtId="0" fontId="0" fillId="0" borderId="0" xfId="0" applyBorder="1" applyAlignment="1">
      <alignment vertical="top"/>
    </xf>
    <xf numFmtId="0" fontId="34" fillId="0" borderId="0" xfId="0" applyFont="1" applyBorder="1" applyAlignment="1">
      <alignment vertical="top"/>
    </xf>
    <xf numFmtId="0" fontId="0" fillId="0" borderId="0" xfId="0"/>
    <xf numFmtId="0" fontId="55" fillId="0" borderId="0" xfId="0" applyFont="1" applyAlignment="1"/>
    <xf numFmtId="0" fontId="55" fillId="0" borderId="0" xfId="0" applyFont="1" applyBorder="1" applyAlignment="1">
      <alignment horizontal="right" vertical="top"/>
    </xf>
    <xf numFmtId="10" fontId="2" fillId="37" borderId="0" xfId="1" applyNumberFormat="1" applyFont="1" applyFill="1" applyAlignment="1">
      <alignment horizontal="right"/>
    </xf>
    <xf numFmtId="0" fontId="30" fillId="0" borderId="0" xfId="0" applyFont="1"/>
    <xf numFmtId="49" fontId="30" fillId="0" borderId="0" xfId="0" applyNumberFormat="1" applyFont="1"/>
    <xf numFmtId="0" fontId="0" fillId="0" borderId="0" xfId="0"/>
    <xf numFmtId="0" fontId="9" fillId="0" borderId="0" xfId="0" applyFont="1" applyAlignment="1"/>
    <xf numFmtId="0" fontId="9" fillId="0" borderId="0" xfId="0" applyFont="1" applyBorder="1"/>
    <xf numFmtId="0" fontId="13" fillId="0" borderId="0" xfId="0" applyFont="1" applyAlignment="1">
      <alignment vertical="top"/>
    </xf>
    <xf numFmtId="0" fontId="13" fillId="0" borderId="0" xfId="0" applyFont="1" applyAlignment="1">
      <alignment horizontal="right" vertical="top"/>
    </xf>
    <xf numFmtId="0" fontId="12" fillId="0" borderId="0" xfId="0" applyFont="1" applyAlignment="1"/>
    <xf numFmtId="0" fontId="9" fillId="0" borderId="4" xfId="0" applyFont="1" applyBorder="1"/>
    <xf numFmtId="0" fontId="9" fillId="0" borderId="5" xfId="0" applyFont="1" applyBorder="1"/>
    <xf numFmtId="0" fontId="9" fillId="0" borderId="0" xfId="0" applyFont="1" applyAlignment="1">
      <alignment vertical="top"/>
    </xf>
    <xf numFmtId="0" fontId="14" fillId="0" borderId="6" xfId="0" applyFont="1" applyBorder="1" applyAlignment="1"/>
    <xf numFmtId="0" fontId="14" fillId="0" borderId="7" xfId="0" applyFont="1" applyBorder="1" applyAlignment="1"/>
    <xf numFmtId="0" fontId="0" fillId="0" borderId="0" xfId="0"/>
    <xf numFmtId="0" fontId="9" fillId="0" borderId="0" xfId="0" applyFont="1" applyBorder="1"/>
    <xf numFmtId="0" fontId="9" fillId="0" borderId="0" xfId="0" applyFont="1" applyBorder="1" applyAlignment="1"/>
    <xf numFmtId="0" fontId="9" fillId="0" borderId="4" xfId="0" applyFont="1" applyBorder="1" applyAlignment="1"/>
    <xf numFmtId="0" fontId="13" fillId="0" borderId="0" xfId="0" applyFont="1" applyBorder="1" applyAlignment="1">
      <alignment horizontal="right" vertical="top"/>
    </xf>
    <xf numFmtId="0" fontId="13" fillId="0" borderId="0" xfId="0" applyFont="1" applyAlignment="1">
      <alignment horizontal="right" vertical="top"/>
    </xf>
    <xf numFmtId="0" fontId="9" fillId="0" borderId="4" xfId="0" applyFont="1" applyBorder="1"/>
    <xf numFmtId="0" fontId="9" fillId="0" borderId="5" xfId="0" applyFont="1" applyBorder="1"/>
    <xf numFmtId="0" fontId="9" fillId="0" borderId="7" xfId="0" applyFont="1" applyBorder="1"/>
    <xf numFmtId="0" fontId="9" fillId="0" borderId="8" xfId="0" applyFont="1" applyBorder="1"/>
    <xf numFmtId="0" fontId="9" fillId="0" borderId="6" xfId="0" applyFont="1" applyBorder="1"/>
    <xf numFmtId="0" fontId="0" fillId="0" borderId="0" xfId="0"/>
    <xf numFmtId="0" fontId="30" fillId="0" borderId="35" xfId="0" applyFont="1" applyBorder="1" applyAlignment="1"/>
    <xf numFmtId="0" fontId="0" fillId="0" borderId="33" xfId="0" applyBorder="1" applyAlignment="1"/>
    <xf numFmtId="4" fontId="0" fillId="0" borderId="34" xfId="0" applyNumberFormat="1" applyBorder="1" applyAlignment="1"/>
    <xf numFmtId="10" fontId="2" fillId="0" borderId="34" xfId="1" applyNumberFormat="1" applyFont="1" applyBorder="1" applyAlignment="1"/>
    <xf numFmtId="0" fontId="2" fillId="0" borderId="33" xfId="0" applyFont="1" applyBorder="1" applyAlignment="1"/>
    <xf numFmtId="0" fontId="0" fillId="0" borderId="0" xfId="0"/>
    <xf numFmtId="0" fontId="0" fillId="0" borderId="0" xfId="0" applyAlignment="1"/>
    <xf numFmtId="169" fontId="30" fillId="0" borderId="35" xfId="0" applyNumberFormat="1" applyFont="1" applyBorder="1" applyAlignment="1"/>
    <xf numFmtId="0" fontId="51" fillId="23" borderId="0" xfId="0" applyFont="1" applyFill="1" applyBorder="1" applyAlignment="1">
      <alignment horizontal="center"/>
    </xf>
    <xf numFmtId="0" fontId="33" fillId="0" borderId="0" xfId="0" applyNumberFormat="1" applyFont="1" applyFill="1" applyBorder="1" applyAlignment="1">
      <alignment vertical="top"/>
    </xf>
    <xf numFmtId="0" fontId="33" fillId="0" borderId="0" xfId="0" applyNumberFormat="1" applyFont="1" applyFill="1" applyBorder="1" applyAlignment="1">
      <alignment vertical="top" shrinkToFit="1"/>
    </xf>
    <xf numFmtId="0" fontId="0" fillId="0" borderId="0" xfId="0" applyBorder="1"/>
    <xf numFmtId="49" fontId="2" fillId="51" borderId="21" xfId="0" applyNumberFormat="1" applyFont="1" applyFill="1" applyBorder="1"/>
    <xf numFmtId="0" fontId="0" fillId="0" borderId="0" xfId="0" applyAlignment="1">
      <alignment horizontal="center"/>
    </xf>
    <xf numFmtId="49" fontId="2" fillId="0" borderId="21" xfId="0" applyNumberFormat="1" applyFont="1" applyBorder="1" applyAlignment="1">
      <alignment horizontal="center"/>
    </xf>
    <xf numFmtId="49" fontId="30" fillId="0" borderId="0" xfId="0" applyNumberFormat="1" applyFont="1" applyBorder="1" applyAlignment="1">
      <alignment horizontal="left"/>
    </xf>
    <xf numFmtId="49" fontId="30" fillId="0" borderId="0" xfId="0" applyNumberFormat="1" applyFont="1" applyAlignment="1">
      <alignment horizontal="left"/>
    </xf>
    <xf numFmtId="49" fontId="2" fillId="0" borderId="38" xfId="0" applyNumberFormat="1" applyFont="1" applyBorder="1"/>
    <xf numFmtId="49" fontId="2" fillId="0" borderId="39" xfId="0" applyNumberFormat="1" applyFont="1" applyBorder="1"/>
    <xf numFmtId="49" fontId="0" fillId="0" borderId="0" xfId="0" applyNumberFormat="1" applyAlignment="1">
      <alignment wrapText="1"/>
    </xf>
    <xf numFmtId="0" fontId="2" fillId="0" borderId="21" xfId="0" applyFont="1" applyBorder="1" applyAlignment="1"/>
    <xf numFmtId="0" fontId="0" fillId="0" borderId="21" xfId="0" applyBorder="1" applyAlignment="1"/>
    <xf numFmtId="178" fontId="30" fillId="0" borderId="35" xfId="0" applyNumberFormat="1" applyFont="1" applyBorder="1" applyAlignment="1"/>
    <xf numFmtId="0" fontId="33" fillId="0" borderId="7" xfId="0" applyNumberFormat="1" applyFont="1" applyFill="1" applyBorder="1" applyAlignment="1">
      <alignment vertical="top" shrinkToFit="1"/>
    </xf>
    <xf numFmtId="0" fontId="33" fillId="0" borderId="8" xfId="0" applyNumberFormat="1" applyFont="1" applyFill="1" applyBorder="1" applyAlignment="1">
      <alignment horizontal="right" vertical="top"/>
    </xf>
    <xf numFmtId="0" fontId="63" fillId="0" borderId="0" xfId="0" applyFont="1"/>
    <xf numFmtId="0" fontId="13" fillId="0" borderId="0" xfId="0" applyFont="1" applyAlignment="1">
      <alignment horizontal="right" vertical="top"/>
    </xf>
    <xf numFmtId="0" fontId="0" fillId="0" borderId="0" xfId="0"/>
    <xf numFmtId="0" fontId="13" fillId="0" borderId="0" xfId="0" applyFont="1" applyAlignment="1">
      <alignment horizontal="right" vertical="top"/>
    </xf>
    <xf numFmtId="0" fontId="12" fillId="0" borderId="0" xfId="0" applyFont="1" applyAlignment="1"/>
    <xf numFmtId="0" fontId="16" fillId="0" borderId="0" xfId="0" applyFont="1"/>
    <xf numFmtId="10" fontId="0" fillId="0" borderId="0" xfId="1" applyNumberFormat="1" applyFont="1"/>
    <xf numFmtId="4" fontId="0" fillId="0" borderId="0" xfId="0" applyNumberFormat="1"/>
    <xf numFmtId="4" fontId="0" fillId="37" borderId="0" xfId="59" applyNumberFormat="1" applyFont="1" applyFill="1" applyAlignment="1">
      <alignment horizontal="right"/>
    </xf>
    <xf numFmtId="0" fontId="31" fillId="0" borderId="10" xfId="0" applyFont="1" applyBorder="1" applyAlignment="1"/>
    <xf numFmtId="0" fontId="34" fillId="0" borderId="0" xfId="0" applyFont="1"/>
    <xf numFmtId="0" fontId="16" fillId="0" borderId="0" xfId="0" applyNumberFormat="1" applyFont="1" applyAlignment="1"/>
    <xf numFmtId="0" fontId="16" fillId="0" borderId="0" xfId="0" applyFont="1" applyAlignment="1"/>
    <xf numFmtId="0" fontId="16" fillId="0" borderId="0" xfId="0" applyFont="1" applyBorder="1" applyAlignment="1">
      <alignment horizontal="right" vertical="top"/>
    </xf>
    <xf numFmtId="0" fontId="61" fillId="0" borderId="42" xfId="0" applyFont="1" applyFill="1" applyBorder="1" applyAlignment="1"/>
    <xf numFmtId="177" fontId="61" fillId="37" borderId="38" xfId="0" applyNumberFormat="1" applyFont="1" applyFill="1" applyBorder="1" applyAlignment="1">
      <alignment horizontal="center"/>
    </xf>
    <xf numFmtId="0" fontId="61" fillId="37" borderId="42" xfId="0" applyFont="1" applyFill="1" applyBorder="1" applyAlignment="1"/>
    <xf numFmtId="177" fontId="61" fillId="37" borderId="41" xfId="0" applyNumberFormat="1" applyFont="1" applyFill="1" applyBorder="1" applyAlignment="1">
      <alignment horizontal="center"/>
    </xf>
    <xf numFmtId="0" fontId="61" fillId="37" borderId="40" xfId="0" applyFont="1" applyFill="1" applyBorder="1" applyAlignment="1"/>
    <xf numFmtId="0" fontId="0" fillId="0" borderId="0" xfId="0"/>
    <xf numFmtId="0" fontId="65" fillId="36" borderId="39" xfId="0" applyFont="1" applyFill="1" applyBorder="1" applyAlignment="1">
      <alignment horizontal="center"/>
    </xf>
    <xf numFmtId="49" fontId="0" fillId="0" borderId="0" xfId="0" applyNumberFormat="1"/>
    <xf numFmtId="0" fontId="68" fillId="0" borderId="0" xfId="0" applyFont="1" applyAlignment="1">
      <alignment vertical="center"/>
    </xf>
    <xf numFmtId="0" fontId="33" fillId="0" borderId="0" xfId="0" applyFont="1" applyFill="1" applyBorder="1" applyAlignment="1">
      <alignment vertical="top"/>
    </xf>
    <xf numFmtId="0" fontId="0" fillId="0" borderId="55" xfId="0" applyBorder="1"/>
    <xf numFmtId="0" fontId="0" fillId="0" borderId="0" xfId="0"/>
    <xf numFmtId="0" fontId="0" fillId="0" borderId="0" xfId="0"/>
    <xf numFmtId="10" fontId="0" fillId="0" borderId="0" xfId="1" applyNumberFormat="1" applyFont="1" applyAlignment="1"/>
    <xf numFmtId="169" fontId="0" fillId="0" borderId="0" xfId="1" applyNumberFormat="1" applyFont="1" applyAlignment="1"/>
    <xf numFmtId="0" fontId="0" fillId="0" borderId="27" xfId="0" applyBorder="1" applyAlignment="1"/>
    <xf numFmtId="0" fontId="65" fillId="36" borderId="32" xfId="0" applyFont="1" applyFill="1" applyBorder="1" applyAlignment="1"/>
    <xf numFmtId="1" fontId="64" fillId="0" borderId="38" xfId="0" applyNumberFormat="1" applyFont="1" applyFill="1" applyBorder="1" applyAlignment="1">
      <alignment horizontal="right"/>
    </xf>
    <xf numFmtId="0" fontId="55" fillId="0" borderId="0" xfId="0" applyNumberFormat="1" applyFont="1" applyAlignment="1"/>
    <xf numFmtId="0" fontId="55" fillId="0" borderId="0" xfId="0" applyFont="1" applyAlignment="1">
      <alignment horizontal="left" vertical="top"/>
    </xf>
    <xf numFmtId="0" fontId="2" fillId="37" borderId="21" xfId="0" applyFont="1" applyFill="1" applyBorder="1" applyAlignment="1"/>
    <xf numFmtId="0" fontId="119" fillId="71" borderId="0" xfId="0" applyNumberFormat="1" applyFont="1" applyFill="1" applyBorder="1" applyAlignment="1">
      <alignment horizontal="left" vertical="top" wrapText="1"/>
    </xf>
    <xf numFmtId="0" fontId="11" fillId="0" borderId="0" xfId="0" applyNumberFormat="1" applyFont="1" applyBorder="1" applyAlignment="1">
      <alignment horizontal="justify" vertical="center" wrapText="1"/>
    </xf>
    <xf numFmtId="0" fontId="33" fillId="0" borderId="0" xfId="0" applyFont="1"/>
    <xf numFmtId="0" fontId="126" fillId="0" borderId="0" xfId="0" applyFont="1"/>
    <xf numFmtId="0" fontId="10" fillId="73" borderId="9" xfId="0" applyFont="1" applyFill="1" applyBorder="1" applyAlignment="1">
      <alignment vertical="center"/>
    </xf>
    <xf numFmtId="0" fontId="11" fillId="73" borderId="10" xfId="0" applyFont="1" applyFill="1" applyBorder="1" applyAlignment="1">
      <alignment vertical="center"/>
    </xf>
    <xf numFmtId="0" fontId="10" fillId="73" borderId="4" xfId="0" applyFont="1" applyFill="1" applyBorder="1" applyAlignment="1">
      <alignment vertical="center"/>
    </xf>
    <xf numFmtId="0" fontId="11" fillId="73" borderId="0" xfId="0" applyFont="1" applyFill="1" applyBorder="1" applyAlignment="1">
      <alignment vertical="center"/>
    </xf>
    <xf numFmtId="0" fontId="10" fillId="73" borderId="6" xfId="0" applyFont="1" applyFill="1" applyBorder="1" applyAlignment="1">
      <alignment vertical="center"/>
    </xf>
    <xf numFmtId="0" fontId="11" fillId="73" borderId="7" xfId="0" applyFont="1" applyFill="1" applyBorder="1" applyAlignment="1">
      <alignment vertical="center"/>
    </xf>
    <xf numFmtId="0" fontId="29" fillId="73" borderId="1" xfId="0" applyFont="1" applyFill="1" applyBorder="1" applyAlignment="1">
      <alignment horizontal="center" vertical="center"/>
    </xf>
    <xf numFmtId="0" fontId="33" fillId="0" borderId="5" xfId="0" applyNumberFormat="1" applyFont="1" applyFill="1" applyBorder="1" applyAlignment="1">
      <alignment horizontal="right" vertical="top"/>
    </xf>
    <xf numFmtId="0" fontId="14" fillId="0" borderId="4" xfId="0" applyFont="1" applyFill="1" applyBorder="1" applyAlignment="1">
      <alignment horizontal="left" vertical="top"/>
    </xf>
    <xf numFmtId="0" fontId="33" fillId="0" borderId="0" xfId="0" applyFont="1" applyBorder="1" applyAlignment="1">
      <alignment horizontal="right" vertical="top" shrinkToFit="1"/>
    </xf>
    <xf numFmtId="0" fontId="51" fillId="23" borderId="0" xfId="0" applyFont="1" applyFill="1" applyBorder="1" applyAlignment="1">
      <alignment horizontal="center"/>
    </xf>
    <xf numFmtId="10" fontId="33" fillId="0" borderId="0" xfId="1" applyNumberFormat="1" applyFont="1" applyFill="1" applyBorder="1" applyAlignment="1">
      <alignment vertical="top" shrinkToFit="1"/>
    </xf>
    <xf numFmtId="10" fontId="33" fillId="0" borderId="5" xfId="1" applyNumberFormat="1" applyFont="1" applyFill="1" applyBorder="1" applyAlignment="1">
      <alignment vertical="top" shrinkToFit="1"/>
    </xf>
    <xf numFmtId="0" fontId="14" fillId="0" borderId="69" xfId="0" applyFont="1" applyFill="1" applyBorder="1" applyAlignment="1">
      <alignment vertical="top"/>
    </xf>
    <xf numFmtId="0" fontId="0" fillId="0" borderId="70" xfId="0" applyBorder="1"/>
    <xf numFmtId="0" fontId="33" fillId="0" borderId="71" xfId="0" applyNumberFormat="1" applyFont="1" applyFill="1" applyBorder="1" applyAlignment="1">
      <alignment horizontal="right" vertical="top"/>
    </xf>
    <xf numFmtId="0" fontId="51" fillId="23" borderId="0" xfId="0" applyFont="1" applyFill="1" applyBorder="1" applyAlignment="1">
      <alignment horizontal="center"/>
    </xf>
    <xf numFmtId="0" fontId="127" fillId="72" borderId="0" xfId="1923" applyFont="1" applyFill="1" applyBorder="1" applyAlignment="1">
      <alignment horizontal="center" vertical="center" wrapText="1"/>
    </xf>
    <xf numFmtId="0" fontId="124" fillId="71" borderId="0" xfId="0" applyNumberFormat="1" applyFont="1" applyFill="1" applyBorder="1" applyAlignment="1">
      <alignment horizontal="left" vertical="center" wrapText="1"/>
    </xf>
    <xf numFmtId="0" fontId="120" fillId="0" borderId="0" xfId="0" applyFont="1" applyAlignment="1">
      <alignment horizontal="justify" vertical="center" wrapText="1"/>
    </xf>
    <xf numFmtId="10" fontId="16" fillId="0" borderId="0" xfId="1" applyNumberFormat="1" applyFont="1" applyBorder="1" applyAlignment="1">
      <alignment horizontal="center" vertical="center"/>
    </xf>
    <xf numFmtId="10" fontId="16" fillId="0" borderId="65" xfId="1" applyNumberFormat="1" applyFont="1" applyBorder="1" applyAlignment="1">
      <alignment horizontal="center" vertical="center"/>
    </xf>
    <xf numFmtId="10" fontId="12" fillId="0" borderId="0" xfId="1" applyNumberFormat="1" applyFont="1" applyBorder="1" applyAlignment="1">
      <alignment horizontal="center" vertical="center"/>
    </xf>
    <xf numFmtId="0" fontId="14" fillId="73" borderId="6" xfId="0" applyFont="1" applyFill="1" applyBorder="1" applyAlignment="1">
      <alignment horizontal="center" vertical="center"/>
    </xf>
    <xf numFmtId="0" fontId="14" fillId="73" borderId="7" xfId="0" applyFont="1" applyFill="1" applyBorder="1" applyAlignment="1">
      <alignment horizontal="center" vertical="center"/>
    </xf>
    <xf numFmtId="0" fontId="0" fillId="73" borderId="8" xfId="0" applyFill="1" applyBorder="1" applyAlignment="1">
      <alignment vertical="center"/>
    </xf>
    <xf numFmtId="10" fontId="12" fillId="0" borderId="62" xfId="1" applyNumberFormat="1" applyFont="1" applyBorder="1" applyAlignment="1">
      <alignment horizontal="center" vertical="center"/>
    </xf>
    <xf numFmtId="10" fontId="12" fillId="0" borderId="10" xfId="1" applyNumberFormat="1" applyFont="1" applyBorder="1" applyAlignment="1">
      <alignment horizontal="center" vertical="center"/>
    </xf>
    <xf numFmtId="10" fontId="12" fillId="0" borderId="11" xfId="1" applyNumberFormat="1" applyFont="1" applyBorder="1" applyAlignment="1">
      <alignment horizontal="center" vertical="center"/>
    </xf>
    <xf numFmtId="10" fontId="12" fillId="0" borderId="67" xfId="1" applyNumberFormat="1" applyFont="1" applyBorder="1" applyAlignment="1">
      <alignment horizontal="center" vertical="center"/>
    </xf>
    <xf numFmtId="49" fontId="14" fillId="0" borderId="64"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4" fillId="73" borderId="59" xfId="0" applyFont="1" applyFill="1" applyBorder="1" applyAlignment="1">
      <alignment horizontal="center" vertical="center"/>
    </xf>
    <xf numFmtId="10" fontId="12" fillId="0" borderId="63" xfId="1" applyNumberFormat="1" applyFont="1" applyBorder="1" applyAlignment="1">
      <alignment horizontal="center" vertical="center"/>
    </xf>
    <xf numFmtId="10" fontId="12" fillId="0" borderId="64" xfId="1" applyNumberFormat="1" applyFont="1" applyBorder="1" applyAlignment="1">
      <alignment horizontal="center" vertical="center"/>
    </xf>
    <xf numFmtId="10" fontId="12" fillId="0" borderId="62" xfId="1" quotePrefix="1" applyNumberFormat="1" applyFont="1" applyBorder="1" applyAlignment="1">
      <alignment horizontal="center" vertical="center"/>
    </xf>
    <xf numFmtId="0" fontId="18" fillId="73" borderId="59" xfId="0" applyFont="1" applyFill="1" applyBorder="1" applyAlignment="1">
      <alignment horizontal="center" vertical="center"/>
    </xf>
    <xf numFmtId="0" fontId="18" fillId="73" borderId="60" xfId="0" applyFont="1" applyFill="1" applyBorder="1" applyAlignment="1">
      <alignment horizontal="center" vertical="center"/>
    </xf>
    <xf numFmtId="49" fontId="14" fillId="0" borderId="66" xfId="0" applyNumberFormat="1" applyFont="1" applyBorder="1" applyAlignment="1">
      <alignment horizontal="center" vertical="center"/>
    </xf>
    <xf numFmtId="49" fontId="14" fillId="0" borderId="67" xfId="0" applyNumberFormat="1" applyFont="1" applyBorder="1" applyAlignment="1">
      <alignment horizontal="center" vertical="center"/>
    </xf>
    <xf numFmtId="10" fontId="12" fillId="0" borderId="68" xfId="1" applyNumberFormat="1" applyFont="1" applyBorder="1" applyAlignment="1">
      <alignment horizontal="center" vertical="center"/>
    </xf>
    <xf numFmtId="0" fontId="14" fillId="73" borderId="9" xfId="0" applyFont="1" applyFill="1" applyBorder="1" applyAlignment="1">
      <alignment horizontal="center" vertical="center"/>
    </xf>
    <xf numFmtId="0" fontId="14" fillId="73" borderId="10" xfId="0" applyFont="1" applyFill="1" applyBorder="1" applyAlignment="1">
      <alignment horizontal="center" vertical="center"/>
    </xf>
    <xf numFmtId="10" fontId="12" fillId="0" borderId="6" xfId="1" applyNumberFormat="1" applyFont="1" applyBorder="1" applyAlignment="1">
      <alignment horizontal="right" vertical="center"/>
    </xf>
    <xf numFmtId="10" fontId="12" fillId="0" borderId="7" xfId="1" applyNumberFormat="1" applyFont="1" applyBorder="1" applyAlignment="1">
      <alignment horizontal="right" vertical="center"/>
    </xf>
    <xf numFmtId="0" fontId="15" fillId="72" borderId="43" xfId="0" applyFont="1" applyFill="1" applyBorder="1" applyAlignment="1">
      <alignment horizontal="center"/>
    </xf>
    <xf numFmtId="0" fontId="15" fillId="72" borderId="44" xfId="0" applyFont="1" applyFill="1" applyBorder="1" applyAlignment="1">
      <alignment horizontal="center"/>
    </xf>
    <xf numFmtId="0" fontId="15" fillId="72" borderId="45" xfId="0" applyFont="1" applyFill="1" applyBorder="1" applyAlignment="1">
      <alignment horizontal="center"/>
    </xf>
    <xf numFmtId="0" fontId="14" fillId="0" borderId="61" xfId="0" applyNumberFormat="1" applyFont="1" applyBorder="1" applyAlignment="1">
      <alignment horizontal="center" vertical="center"/>
    </xf>
    <xf numFmtId="0" fontId="14" fillId="0" borderId="62" xfId="0" applyNumberFormat="1" applyFont="1" applyBorder="1" applyAlignment="1">
      <alignment horizontal="center" vertical="center"/>
    </xf>
    <xf numFmtId="10" fontId="12" fillId="0" borderId="66" xfId="1" applyNumberFormat="1" applyFont="1" applyBorder="1" applyAlignment="1">
      <alignment horizontal="center" vertical="center"/>
    </xf>
    <xf numFmtId="10" fontId="16" fillId="0" borderId="67" xfId="1" applyNumberFormat="1" applyFont="1" applyBorder="1" applyAlignment="1">
      <alignment horizontal="center" vertical="center"/>
    </xf>
    <xf numFmtId="10" fontId="16" fillId="0" borderId="68" xfId="1" applyNumberFormat="1" applyFont="1" applyBorder="1" applyAlignment="1">
      <alignment horizontal="center" vertical="center"/>
    </xf>
    <xf numFmtId="10" fontId="12" fillId="0" borderId="9" xfId="1" applyNumberFormat="1" applyFont="1" applyBorder="1" applyAlignment="1">
      <alignment horizontal="right" vertical="center"/>
    </xf>
    <xf numFmtId="10" fontId="12" fillId="0" borderId="10" xfId="1" applyNumberFormat="1" applyFont="1" applyBorder="1" applyAlignment="1">
      <alignment horizontal="right" vertical="center"/>
    </xf>
    <xf numFmtId="0" fontId="31" fillId="0" borderId="6" xfId="0" applyFont="1" applyFill="1" applyBorder="1" applyAlignment="1">
      <alignment horizontal="left" vertical="center" shrinkToFit="1"/>
    </xf>
    <xf numFmtId="0" fontId="31" fillId="0" borderId="7" xfId="0" applyFont="1" applyFill="1" applyBorder="1" applyAlignment="1">
      <alignment horizontal="left" vertical="center" shrinkToFit="1"/>
    </xf>
    <xf numFmtId="0" fontId="31" fillId="0" borderId="8" xfId="0" applyFont="1" applyFill="1" applyBorder="1" applyAlignment="1">
      <alignment horizontal="left" vertical="center" shrinkToFit="1"/>
    </xf>
    <xf numFmtId="10" fontId="16" fillId="0" borderId="10" xfId="1" applyNumberFormat="1" applyFont="1" applyBorder="1" applyAlignment="1">
      <alignment horizontal="right" vertical="center" indent="1"/>
    </xf>
    <xf numFmtId="10" fontId="16" fillId="0" borderId="11" xfId="1" applyNumberFormat="1" applyFont="1" applyBorder="1" applyAlignment="1">
      <alignment horizontal="right" vertical="center" indent="1"/>
    </xf>
    <xf numFmtId="10" fontId="12" fillId="0" borderId="65" xfId="1" applyNumberFormat="1" applyFont="1" applyBorder="1" applyAlignment="1">
      <alignment horizontal="center" vertical="center"/>
    </xf>
    <xf numFmtId="10" fontId="16" fillId="0" borderId="7" xfId="1" applyNumberFormat="1" applyFont="1" applyBorder="1" applyAlignment="1">
      <alignment horizontal="right" vertical="center" indent="1"/>
    </xf>
    <xf numFmtId="10" fontId="16" fillId="0" borderId="8" xfId="1" applyNumberFormat="1" applyFont="1" applyBorder="1" applyAlignment="1">
      <alignment horizontal="right" vertical="center" indent="1"/>
    </xf>
    <xf numFmtId="10" fontId="12" fillId="0" borderId="7" xfId="1" applyNumberFormat="1" applyFont="1" applyBorder="1" applyAlignment="1">
      <alignment horizontal="center" vertical="center"/>
    </xf>
    <xf numFmtId="10" fontId="12" fillId="0" borderId="8" xfId="1" applyNumberFormat="1" applyFont="1" applyBorder="1" applyAlignment="1">
      <alignment horizontal="center" vertical="center"/>
    </xf>
    <xf numFmtId="0" fontId="14" fillId="73" borderId="58" xfId="0" applyFont="1" applyFill="1" applyBorder="1" applyAlignment="1">
      <alignment horizontal="center" vertical="center"/>
    </xf>
    <xf numFmtId="0" fontId="11" fillId="0" borderId="0" xfId="0" applyNumberFormat="1" applyFont="1" applyBorder="1" applyAlignment="1">
      <alignment horizontal="justify" vertical="center" wrapText="1"/>
    </xf>
    <xf numFmtId="49" fontId="116" fillId="71" borderId="57" xfId="0" applyNumberFormat="1" applyFont="1" applyFill="1" applyBorder="1" applyAlignment="1">
      <alignment horizontal="left" vertical="center" wrapText="1"/>
    </xf>
    <xf numFmtId="0" fontId="116" fillId="71" borderId="0" xfId="0" applyNumberFormat="1" applyFont="1" applyFill="1" applyBorder="1" applyAlignment="1">
      <alignment horizontal="left" vertical="center" wrapText="1"/>
    </xf>
    <xf numFmtId="0" fontId="116" fillId="71" borderId="57" xfId="0" applyNumberFormat="1" applyFont="1" applyFill="1" applyBorder="1" applyAlignment="1">
      <alignment horizontal="left" vertical="center" wrapText="1"/>
    </xf>
    <xf numFmtId="0" fontId="119" fillId="71" borderId="57" xfId="0" applyNumberFormat="1" applyFont="1" applyFill="1" applyBorder="1" applyAlignment="1">
      <alignment horizontal="left" vertical="top" wrapText="1"/>
    </xf>
    <xf numFmtId="0" fontId="119" fillId="71" borderId="0" xfId="0" applyNumberFormat="1" applyFont="1" applyFill="1" applyBorder="1" applyAlignment="1">
      <alignment horizontal="left" vertical="top" wrapText="1"/>
    </xf>
    <xf numFmtId="10" fontId="12" fillId="0" borderId="6" xfId="1" applyNumberFormat="1" applyFont="1" applyBorder="1" applyAlignment="1">
      <alignment horizontal="center" vertical="center"/>
    </xf>
    <xf numFmtId="0" fontId="14" fillId="73" borderId="11" xfId="0" applyFont="1" applyFill="1" applyBorder="1" applyAlignment="1">
      <alignment horizontal="center" vertical="center"/>
    </xf>
    <xf numFmtId="0" fontId="14" fillId="73" borderId="6" xfId="0" applyFont="1" applyFill="1" applyBorder="1" applyAlignment="1">
      <alignment horizontal="right" vertical="center"/>
    </xf>
    <xf numFmtId="0" fontId="14" fillId="73" borderId="7" xfId="0" applyFont="1" applyFill="1" applyBorder="1" applyAlignment="1">
      <alignment horizontal="right" vertical="center"/>
    </xf>
    <xf numFmtId="0" fontId="18" fillId="73" borderId="7" xfId="0" applyFont="1" applyFill="1" applyBorder="1" applyAlignment="1">
      <alignment horizontal="right" vertical="center" indent="1"/>
    </xf>
    <xf numFmtId="0" fontId="18" fillId="73" borderId="8" xfId="0" applyFont="1" applyFill="1" applyBorder="1" applyAlignment="1">
      <alignment horizontal="right" vertical="center" indent="1"/>
    </xf>
    <xf numFmtId="0" fontId="17" fillId="72" borderId="43" xfId="0" applyFont="1" applyFill="1" applyBorder="1" applyAlignment="1">
      <alignment horizontal="center"/>
    </xf>
    <xf numFmtId="0" fontId="17" fillId="72" borderId="44" xfId="0" applyFont="1" applyFill="1" applyBorder="1" applyAlignment="1">
      <alignment horizontal="center"/>
    </xf>
    <xf numFmtId="0" fontId="17" fillId="72" borderId="45" xfId="0" applyFont="1" applyFill="1" applyBorder="1" applyAlignment="1">
      <alignment horizontal="center"/>
    </xf>
    <xf numFmtId="49" fontId="15" fillId="72" borderId="43" xfId="0" applyNumberFormat="1" applyFont="1" applyFill="1" applyBorder="1" applyAlignment="1">
      <alignment horizontal="center"/>
    </xf>
    <xf numFmtId="0" fontId="15" fillId="72" borderId="44" xfId="0" applyNumberFormat="1" applyFont="1" applyFill="1" applyBorder="1" applyAlignment="1">
      <alignment horizontal="center"/>
    </xf>
    <xf numFmtId="0" fontId="15" fillId="72" borderId="45" xfId="0" applyNumberFormat="1" applyFont="1" applyFill="1" applyBorder="1" applyAlignment="1">
      <alignment horizontal="center"/>
    </xf>
    <xf numFmtId="4" fontId="11" fillId="73" borderId="10" xfId="0" applyNumberFormat="1" applyFont="1" applyFill="1" applyBorder="1" applyAlignment="1">
      <alignment horizontal="right" vertical="center"/>
    </xf>
    <xf numFmtId="4" fontId="11" fillId="73" borderId="11" xfId="0" applyNumberFormat="1" applyFont="1" applyFill="1" applyBorder="1" applyAlignment="1">
      <alignment horizontal="right" vertical="center"/>
    </xf>
    <xf numFmtId="4" fontId="11" fillId="73" borderId="0" xfId="0" applyNumberFormat="1" applyFont="1" applyFill="1" applyBorder="1" applyAlignment="1">
      <alignment horizontal="right" vertical="center"/>
    </xf>
    <xf numFmtId="4" fontId="11" fillId="73" borderId="5" xfId="0" applyNumberFormat="1" applyFont="1" applyFill="1" applyBorder="1" applyAlignment="1">
      <alignment horizontal="right" vertical="center"/>
    </xf>
    <xf numFmtId="49" fontId="31" fillId="0" borderId="9" xfId="0" applyNumberFormat="1" applyFont="1" applyFill="1" applyBorder="1" applyAlignment="1">
      <alignment horizontal="left" vertical="center" shrinkToFit="1"/>
    </xf>
    <xf numFmtId="0" fontId="31" fillId="0" borderId="10" xfId="0" applyNumberFormat="1" applyFont="1" applyFill="1" applyBorder="1" applyAlignment="1">
      <alignment horizontal="left" vertical="center" shrinkToFit="1"/>
    </xf>
    <xf numFmtId="0" fontId="31" fillId="0" borderId="11" xfId="0" applyNumberFormat="1" applyFont="1" applyFill="1" applyBorder="1" applyAlignment="1">
      <alignment horizontal="left" vertical="center" shrinkToFit="1"/>
    </xf>
    <xf numFmtId="0" fontId="33" fillId="0" borderId="0" xfId="0" applyFont="1" applyBorder="1" applyAlignment="1">
      <alignment horizontal="right" vertical="top" shrinkToFit="1"/>
    </xf>
    <xf numFmtId="0" fontId="0" fillId="0" borderId="0" xfId="0" applyBorder="1" applyAlignment="1">
      <alignment horizontal="right" vertical="top" shrinkToFit="1"/>
    </xf>
    <xf numFmtId="0" fontId="0" fillId="0" borderId="5" xfId="0" applyBorder="1" applyAlignment="1">
      <alignment horizontal="right" vertical="top" shrinkToFit="1"/>
    </xf>
    <xf numFmtId="0" fontId="68" fillId="0" borderId="0" xfId="0" applyFont="1" applyAlignment="1">
      <alignment horizontal="left" vertical="center"/>
    </xf>
    <xf numFmtId="0" fontId="11" fillId="0" borderId="0" xfId="0" applyFont="1" applyAlignment="1">
      <alignment horizontal="left" vertical="center"/>
    </xf>
    <xf numFmtId="0" fontId="117" fillId="71" borderId="0" xfId="0" applyFont="1" applyFill="1" applyBorder="1" applyAlignment="1">
      <alignment horizontal="center" vertical="center"/>
    </xf>
    <xf numFmtId="0" fontId="11" fillId="72" borderId="0" xfId="0" applyFont="1" applyFill="1" applyBorder="1" applyAlignment="1">
      <alignment horizontal="center" vertical="center" wrapText="1"/>
    </xf>
    <xf numFmtId="0" fontId="118" fillId="72" borderId="0" xfId="0" applyFont="1" applyFill="1" applyBorder="1" applyAlignment="1">
      <alignment horizontal="center" vertical="center" wrapText="1"/>
    </xf>
    <xf numFmtId="14" fontId="33" fillId="0" borderId="0" xfId="0" applyNumberFormat="1" applyFont="1" applyFill="1" applyBorder="1" applyAlignment="1">
      <alignment horizontal="right" vertical="top"/>
    </xf>
    <xf numFmtId="0" fontId="33" fillId="0" borderId="0" xfId="0" applyNumberFormat="1" applyFont="1" applyFill="1" applyBorder="1" applyAlignment="1">
      <alignment horizontal="right" vertical="top"/>
    </xf>
    <xf numFmtId="0" fontId="33" fillId="0" borderId="5" xfId="0" applyNumberFormat="1" applyFont="1" applyFill="1" applyBorder="1" applyAlignment="1">
      <alignment horizontal="right" vertical="top"/>
    </xf>
    <xf numFmtId="0" fontId="33" fillId="0" borderId="0" xfId="0" applyNumberFormat="1" applyFont="1" applyFill="1" applyBorder="1" applyAlignment="1">
      <alignment horizontal="right" vertical="top" wrapText="1"/>
    </xf>
    <xf numFmtId="0" fontId="33" fillId="0" borderId="5" xfId="0" applyNumberFormat="1" applyFont="1" applyFill="1" applyBorder="1" applyAlignment="1">
      <alignment horizontal="right" vertical="top" wrapText="1"/>
    </xf>
    <xf numFmtId="0" fontId="14" fillId="0" borderId="4" xfId="0" applyFont="1" applyFill="1" applyBorder="1" applyAlignment="1">
      <alignment horizontal="left" vertical="top"/>
    </xf>
    <xf numFmtId="0" fontId="14" fillId="0" borderId="0" xfId="0" applyFont="1" applyFill="1" applyBorder="1" applyAlignment="1">
      <alignment horizontal="left" vertical="top"/>
    </xf>
    <xf numFmtId="3" fontId="11" fillId="73" borderId="0" xfId="0" applyNumberFormat="1" applyFont="1" applyFill="1" applyBorder="1" applyAlignment="1">
      <alignment horizontal="right" vertical="center"/>
    </xf>
    <xf numFmtId="3" fontId="11" fillId="73" borderId="5" xfId="0" applyNumberFormat="1" applyFont="1" applyFill="1" applyBorder="1" applyAlignment="1">
      <alignment horizontal="right" vertical="center"/>
    </xf>
    <xf numFmtId="0" fontId="33" fillId="0" borderId="0" xfId="0" applyNumberFormat="1" applyFont="1" applyFill="1" applyBorder="1" applyAlignment="1">
      <alignment horizontal="right" vertical="top" wrapText="1" shrinkToFit="1"/>
    </xf>
    <xf numFmtId="0" fontId="33" fillId="0" borderId="5" xfId="0" applyNumberFormat="1" applyFont="1" applyFill="1" applyBorder="1" applyAlignment="1">
      <alignment horizontal="right" vertical="top" wrapText="1" shrinkToFit="1"/>
    </xf>
    <xf numFmtId="3" fontId="11" fillId="73" borderId="0" xfId="0" quotePrefix="1" applyNumberFormat="1" applyFont="1" applyFill="1" applyBorder="1" applyAlignment="1">
      <alignment horizontal="right" vertical="center"/>
    </xf>
    <xf numFmtId="10" fontId="11" fillId="73" borderId="7" xfId="1" quotePrefix="1" applyNumberFormat="1" applyFont="1" applyFill="1" applyBorder="1" applyAlignment="1">
      <alignment horizontal="right" vertical="center"/>
    </xf>
    <xf numFmtId="10" fontId="11" fillId="73" borderId="7" xfId="1" applyNumberFormat="1" applyFont="1" applyFill="1" applyBorder="1" applyAlignment="1">
      <alignment horizontal="right" vertical="center"/>
    </xf>
    <xf numFmtId="10" fontId="11" fillId="73" borderId="8" xfId="1" applyNumberFormat="1" applyFont="1" applyFill="1" applyBorder="1" applyAlignment="1">
      <alignment horizontal="right" vertical="center"/>
    </xf>
    <xf numFmtId="10" fontId="12" fillId="0" borderId="9" xfId="1" applyNumberFormat="1" applyFont="1" applyBorder="1" applyAlignment="1">
      <alignment horizontal="center" vertical="center"/>
    </xf>
    <xf numFmtId="0" fontId="33" fillId="0" borderId="4" xfId="0" applyFont="1" applyBorder="1" applyAlignment="1">
      <alignment horizontal="left" vertical="center" shrinkToFit="1"/>
    </xf>
    <xf numFmtId="0" fontId="33" fillId="0" borderId="0" xfId="0" applyFont="1" applyBorder="1" applyAlignment="1">
      <alignment horizontal="left" vertical="center" shrinkToFit="1"/>
    </xf>
    <xf numFmtId="10" fontId="33" fillId="0" borderId="0" xfId="1" applyNumberFormat="1" applyFont="1" applyBorder="1" applyAlignment="1">
      <alignment horizontal="center"/>
    </xf>
    <xf numFmtId="0" fontId="12" fillId="0" borderId="4"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5" xfId="0" applyFont="1" applyBorder="1" applyAlignment="1">
      <alignment horizontal="left" vertical="center" shrinkToFit="1"/>
    </xf>
    <xf numFmtId="0" fontId="14" fillId="73" borderId="12" xfId="0" applyFont="1" applyFill="1" applyBorder="1" applyAlignment="1">
      <alignment horizontal="center" vertical="center"/>
    </xf>
    <xf numFmtId="0" fontId="14" fillId="73" borderId="13" xfId="0" applyFont="1" applyFill="1" applyBorder="1" applyAlignment="1">
      <alignment horizontal="center" vertical="center"/>
    </xf>
    <xf numFmtId="0" fontId="14" fillId="73" borderId="14" xfId="0" applyFont="1" applyFill="1" applyBorder="1" applyAlignment="1">
      <alignment horizontal="center" vertical="center"/>
    </xf>
    <xf numFmtId="10" fontId="12" fillId="0" borderId="4" xfId="1" applyNumberFormat="1" applyFont="1" applyBorder="1" applyAlignment="1">
      <alignment horizontal="center" vertical="center"/>
    </xf>
    <xf numFmtId="10" fontId="12" fillId="0" borderId="5" xfId="1" applyNumberFormat="1" applyFont="1" applyBorder="1" applyAlignment="1">
      <alignment horizontal="center" vertical="center"/>
    </xf>
    <xf numFmtId="49" fontId="12" fillId="0" borderId="9" xfId="0" applyNumberFormat="1"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14" fontId="12" fillId="0" borderId="4" xfId="1" applyNumberFormat="1" applyFont="1" applyBorder="1" applyAlignment="1">
      <alignment horizontal="center" vertical="center"/>
    </xf>
    <xf numFmtId="14" fontId="12" fillId="0" borderId="0" xfId="1" applyNumberFormat="1" applyFont="1" applyBorder="1" applyAlignment="1">
      <alignment horizontal="center" vertical="center"/>
    </xf>
    <xf numFmtId="14" fontId="12" fillId="0" borderId="5" xfId="1" applyNumberFormat="1" applyFont="1" applyBorder="1" applyAlignment="1">
      <alignment horizontal="center" vertical="center"/>
    </xf>
    <xf numFmtId="175" fontId="12" fillId="0" borderId="4" xfId="1" applyNumberFormat="1" applyFont="1" applyBorder="1" applyAlignment="1">
      <alignment horizontal="center" vertical="center"/>
    </xf>
    <xf numFmtId="175" fontId="12" fillId="0" borderId="0" xfId="1" applyNumberFormat="1" applyFont="1" applyBorder="1" applyAlignment="1">
      <alignment horizontal="center" vertical="center"/>
    </xf>
    <xf numFmtId="175" fontId="12" fillId="0" borderId="5" xfId="1" applyNumberFormat="1" applyFont="1" applyBorder="1" applyAlignment="1">
      <alignment horizontal="center" vertical="center"/>
    </xf>
    <xf numFmtId="10" fontId="33" fillId="0" borderId="5" xfId="1" applyNumberFormat="1" applyFont="1" applyBorder="1" applyAlignment="1">
      <alignment horizontal="center"/>
    </xf>
    <xf numFmtId="177" fontId="12" fillId="0" borderId="4" xfId="1" applyNumberFormat="1" applyFont="1" applyBorder="1" applyAlignment="1">
      <alignment horizontal="center" vertical="center"/>
    </xf>
    <xf numFmtId="177" fontId="12" fillId="0" borderId="5" xfId="1" applyNumberFormat="1" applyFont="1" applyBorder="1" applyAlignment="1">
      <alignment horizontal="center" vertical="center"/>
    </xf>
    <xf numFmtId="10" fontId="33" fillId="0" borderId="7" xfId="1" applyNumberFormat="1" applyFont="1" applyBorder="1" applyAlignment="1">
      <alignment horizontal="center"/>
    </xf>
    <xf numFmtId="10" fontId="33" fillId="0" borderId="8" xfId="1" applyNumberFormat="1" applyFont="1" applyBorder="1" applyAlignment="1">
      <alignment horizontal="center"/>
    </xf>
    <xf numFmtId="0" fontId="33" fillId="0" borderId="6" xfId="0" applyFont="1" applyBorder="1" applyAlignment="1">
      <alignment horizontal="left" vertical="center" shrinkToFit="1"/>
    </xf>
    <xf numFmtId="0" fontId="33" fillId="0" borderId="7" xfId="0" applyFont="1" applyBorder="1" applyAlignment="1">
      <alignment horizontal="left" vertical="center" shrinkToFit="1"/>
    </xf>
    <xf numFmtId="10" fontId="12" fillId="0" borderId="6" xfId="1" applyNumberFormat="1" applyFont="1" applyBorder="1" applyAlignment="1">
      <alignment horizontal="center"/>
    </xf>
    <xf numFmtId="10" fontId="12" fillId="0" borderId="7" xfId="1" applyNumberFormat="1" applyFont="1" applyBorder="1" applyAlignment="1">
      <alignment horizontal="center"/>
    </xf>
    <xf numFmtId="10" fontId="12" fillId="0" borderId="8" xfId="1" applyNumberFormat="1" applyFont="1" applyBorder="1" applyAlignment="1">
      <alignment horizontal="center"/>
    </xf>
    <xf numFmtId="10" fontId="14" fillId="0" borderId="6" xfId="1" applyNumberFormat="1" applyFont="1" applyBorder="1" applyAlignment="1">
      <alignment horizontal="center"/>
    </xf>
    <xf numFmtId="10" fontId="14" fillId="0" borderId="7" xfId="1" applyNumberFormat="1" applyFont="1" applyBorder="1" applyAlignment="1">
      <alignment horizontal="center"/>
    </xf>
    <xf numFmtId="10" fontId="14" fillId="0" borderId="8" xfId="1" applyNumberFormat="1" applyFont="1" applyBorder="1" applyAlignment="1">
      <alignment horizontal="center"/>
    </xf>
    <xf numFmtId="0" fontId="14" fillId="73" borderId="12" xfId="0" applyFont="1" applyFill="1" applyBorder="1" applyAlignment="1">
      <alignment horizontal="center" vertical="center" shrinkToFit="1"/>
    </xf>
    <xf numFmtId="0" fontId="14" fillId="73" borderId="13" xfId="0" applyFont="1" applyFill="1" applyBorder="1" applyAlignment="1">
      <alignment horizontal="center" vertical="center" shrinkToFit="1"/>
    </xf>
    <xf numFmtId="0" fontId="14" fillId="73" borderId="14" xfId="0" applyFont="1" applyFill="1" applyBorder="1" applyAlignment="1">
      <alignment horizontal="center" vertical="center" shrinkToFit="1"/>
    </xf>
    <xf numFmtId="2" fontId="12" fillId="0" borderId="12"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0" fontId="12" fillId="0" borderId="12" xfId="0" applyNumberFormat="1" applyFont="1" applyBorder="1" applyAlignment="1">
      <alignment horizontal="center" vertical="center"/>
    </xf>
    <xf numFmtId="10" fontId="12" fillId="0" borderId="13" xfId="0" applyNumberFormat="1" applyFont="1" applyBorder="1" applyAlignment="1">
      <alignment horizontal="center" vertical="center"/>
    </xf>
    <xf numFmtId="10" fontId="12" fillId="0" borderId="14" xfId="0" applyNumberFormat="1" applyFont="1" applyBorder="1" applyAlignment="1">
      <alignment horizontal="center" vertical="center"/>
    </xf>
    <xf numFmtId="0" fontId="31" fillId="73" borderId="9" xfId="0" applyFont="1" applyFill="1" applyBorder="1" applyAlignment="1">
      <alignment horizontal="center" vertical="center"/>
    </xf>
    <xf numFmtId="0" fontId="31" fillId="73" borderId="10" xfId="0" applyFont="1" applyFill="1" applyBorder="1" applyAlignment="1">
      <alignment horizontal="center" vertical="center"/>
    </xf>
    <xf numFmtId="0" fontId="31" fillId="73" borderId="11" xfId="0" applyFont="1" applyFill="1" applyBorder="1" applyAlignment="1">
      <alignment horizontal="center" vertical="center"/>
    </xf>
    <xf numFmtId="177" fontId="12" fillId="0" borderId="9" xfId="1" applyNumberFormat="1" applyFont="1" applyBorder="1" applyAlignment="1">
      <alignment horizontal="center" vertical="center"/>
    </xf>
    <xf numFmtId="177" fontId="12" fillId="0" borderId="11" xfId="1" applyNumberFormat="1" applyFont="1" applyBorder="1" applyAlignment="1">
      <alignment horizontal="center" vertical="center"/>
    </xf>
    <xf numFmtId="49" fontId="12" fillId="0" borderId="9" xfId="1" applyNumberFormat="1" applyFont="1" applyBorder="1" applyAlignment="1">
      <alignment horizontal="center" vertical="center"/>
    </xf>
    <xf numFmtId="14" fontId="12" fillId="0" borderId="10" xfId="1" applyNumberFormat="1" applyFont="1" applyBorder="1" applyAlignment="1">
      <alignment horizontal="center" vertical="center"/>
    </xf>
    <xf numFmtId="14" fontId="12" fillId="0" borderId="11" xfId="1" applyNumberFormat="1" applyFont="1" applyBorder="1" applyAlignment="1">
      <alignment horizontal="center" vertical="center"/>
    </xf>
    <xf numFmtId="175" fontId="12" fillId="0" borderId="9" xfId="1" applyNumberFormat="1" applyFont="1" applyBorder="1" applyAlignment="1">
      <alignment horizontal="center" vertical="center"/>
    </xf>
    <xf numFmtId="175" fontId="12" fillId="0" borderId="10" xfId="1" applyNumberFormat="1" applyFont="1" applyBorder="1" applyAlignment="1">
      <alignment horizontal="center" vertical="center"/>
    </xf>
    <xf numFmtId="0" fontId="62" fillId="73" borderId="12" xfId="0" applyFont="1" applyFill="1" applyBorder="1" applyAlignment="1">
      <alignment horizontal="center" vertical="center"/>
    </xf>
    <xf numFmtId="0" fontId="62" fillId="73" borderId="13" xfId="0" applyFont="1" applyFill="1" applyBorder="1" applyAlignment="1">
      <alignment horizontal="center" vertical="center"/>
    </xf>
    <xf numFmtId="0" fontId="62" fillId="73" borderId="14" xfId="0" applyFont="1" applyFill="1" applyBorder="1" applyAlignment="1">
      <alignment horizontal="center" vertical="center"/>
    </xf>
    <xf numFmtId="0" fontId="31" fillId="0" borderId="10" xfId="0" applyFont="1" applyBorder="1" applyAlignment="1">
      <alignment horizont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center"/>
    </xf>
    <xf numFmtId="2" fontId="12" fillId="0" borderId="6" xfId="0" applyNumberFormat="1" applyFont="1" applyBorder="1" applyAlignment="1">
      <alignment horizontal="center" vertical="center"/>
    </xf>
    <xf numFmtId="2"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10" fontId="12" fillId="0" borderId="6" xfId="0" applyNumberFormat="1" applyFont="1" applyBorder="1" applyAlignment="1">
      <alignment horizontal="center" vertical="center"/>
    </xf>
    <xf numFmtId="10" fontId="12" fillId="0" borderId="7" xfId="0" applyNumberFormat="1" applyFont="1" applyBorder="1" applyAlignment="1">
      <alignment horizontal="center" vertical="center"/>
    </xf>
    <xf numFmtId="2" fontId="12" fillId="0" borderId="13" xfId="0" applyNumberFormat="1" applyFont="1" applyBorder="1" applyAlignment="1">
      <alignment horizontal="center" vertical="center"/>
    </xf>
    <xf numFmtId="2" fontId="12" fillId="0" borderId="14" xfId="0" applyNumberFormat="1" applyFont="1" applyBorder="1" applyAlignment="1">
      <alignment horizontal="center" vertical="center"/>
    </xf>
    <xf numFmtId="0" fontId="51" fillId="23" borderId="0" xfId="0" applyFont="1"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54" fillId="23" borderId="0" xfId="0" applyFont="1" applyFill="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49" fontId="2" fillId="0" borderId="22" xfId="0" applyNumberFormat="1" applyFont="1" applyFill="1" applyBorder="1" applyAlignment="1">
      <alignment horizontal="left" vertical="center"/>
    </xf>
    <xf numFmtId="49" fontId="2" fillId="0" borderId="22" xfId="0" applyNumberFormat="1" applyFont="1" applyFill="1" applyBorder="1" applyAlignment="1">
      <alignment horizontal="center" vertical="center"/>
    </xf>
    <xf numFmtId="10" fontId="0" fillId="0" borderId="24" xfId="1" applyNumberFormat="1" applyFont="1" applyFill="1" applyBorder="1" applyAlignment="1">
      <alignment horizontal="center"/>
    </xf>
    <xf numFmtId="0" fontId="0" fillId="0" borderId="24" xfId="0" applyFill="1" applyBorder="1" applyAlignment="1">
      <alignment horizontal="left"/>
    </xf>
    <xf numFmtId="10" fontId="0" fillId="0" borderId="0" xfId="1" applyNumberFormat="1" applyFont="1" applyFill="1" applyBorder="1" applyAlignment="1">
      <alignment horizontal="center"/>
    </xf>
    <xf numFmtId="0" fontId="0" fillId="0" borderId="0" xfId="0" applyFill="1" applyBorder="1" applyAlignment="1">
      <alignment horizontal="left"/>
    </xf>
    <xf numFmtId="177" fontId="0" fillId="0" borderId="0" xfId="0" applyNumberFormat="1"/>
    <xf numFmtId="49" fontId="2" fillId="74" borderId="21" xfId="0" applyNumberFormat="1" applyFont="1" applyFill="1" applyBorder="1"/>
    <xf numFmtId="0" fontId="2" fillId="0" borderId="0" xfId="0" applyFont="1"/>
    <xf numFmtId="49" fontId="2" fillId="0" borderId="0" xfId="0" applyNumberFormat="1" applyFont="1"/>
    <xf numFmtId="10" fontId="0" fillId="0" borderId="0" xfId="0" applyNumberFormat="1"/>
    <xf numFmtId="184" fontId="0" fillId="0" borderId="0" xfId="0" applyNumberFormat="1"/>
    <xf numFmtId="49" fontId="2" fillId="75" borderId="21" xfId="0" applyNumberFormat="1" applyFont="1" applyFill="1" applyBorder="1"/>
    <xf numFmtId="185" fontId="0" fillId="0" borderId="0" xfId="0" applyNumberFormat="1"/>
    <xf numFmtId="186" fontId="0" fillId="0" borderId="0" xfId="0" applyNumberFormat="1"/>
    <xf numFmtId="187" fontId="0" fillId="0" borderId="0" xfId="0" applyNumberFormat="1"/>
    <xf numFmtId="188" fontId="0" fillId="0" borderId="0" xfId="0" applyNumberFormat="1"/>
  </cellXfs>
  <cellStyles count="1924">
    <cellStyle name=" 1" xfId="122"/>
    <cellStyle name=" 1 2" xfId="131"/>
    <cellStyle name=" 1 3" xfId="126"/>
    <cellStyle name="_x000a_bidires=100_x000d_" xfId="60"/>
    <cellStyle name="20 % - Accent1 2" xfId="27"/>
    <cellStyle name="20 % - Accent1 3" xfId="972"/>
    <cellStyle name="20 % - Accent2 2" xfId="31"/>
    <cellStyle name="20 % - Accent2 3" xfId="976"/>
    <cellStyle name="20 % - Accent3 2" xfId="35"/>
    <cellStyle name="20 % - Accent3 3" xfId="980"/>
    <cellStyle name="20 % - Accent4 2" xfId="39"/>
    <cellStyle name="20 % - Accent4 3" xfId="984"/>
    <cellStyle name="20 % - Accent5 2" xfId="43"/>
    <cellStyle name="20 % - Accent5 3" xfId="988"/>
    <cellStyle name="20 % - Accent6 2" xfId="47"/>
    <cellStyle name="20 % - Accent6 3" xfId="992"/>
    <cellStyle name="40 % - Accent1 2" xfId="28"/>
    <cellStyle name="40 % - Accent1 3" xfId="973"/>
    <cellStyle name="40 % - Accent2 2" xfId="32"/>
    <cellStyle name="40 % - Accent2 3" xfId="977"/>
    <cellStyle name="40 % - Accent3 2" xfId="36"/>
    <cellStyle name="40 % - Accent3 3" xfId="981"/>
    <cellStyle name="40 % - Accent4 2" xfId="40"/>
    <cellStyle name="40 % - Accent4 3" xfId="985"/>
    <cellStyle name="40 % - Accent5 2" xfId="44"/>
    <cellStyle name="40 % - Accent5 3" xfId="989"/>
    <cellStyle name="40 % - Accent6 2" xfId="48"/>
    <cellStyle name="40 % - Accent6 3" xfId="993"/>
    <cellStyle name="60 % - Accent1 2" xfId="29"/>
    <cellStyle name="60 % - Accent1 3" xfId="974"/>
    <cellStyle name="60 % - Accent2 2" xfId="33"/>
    <cellStyle name="60 % - Accent2 3" xfId="978"/>
    <cellStyle name="60 % - Accent3 2" xfId="37"/>
    <cellStyle name="60 % - Accent3 3" xfId="982"/>
    <cellStyle name="60 % - Accent4 2" xfId="41"/>
    <cellStyle name="60 % - Accent4 3" xfId="986"/>
    <cellStyle name="60 % - Accent5 2" xfId="45"/>
    <cellStyle name="60 % - Accent5 3" xfId="990"/>
    <cellStyle name="60 % - Accent6 2" xfId="49"/>
    <cellStyle name="60 % - Accent6 3" xfId="994"/>
    <cellStyle name="Accent1 2" xfId="26"/>
    <cellStyle name="Accent1 3" xfId="971"/>
    <cellStyle name="Accent2 2" xfId="30"/>
    <cellStyle name="Accent2 3" xfId="975"/>
    <cellStyle name="Accent3 2" xfId="34"/>
    <cellStyle name="Accent3 3" xfId="979"/>
    <cellStyle name="Accent4 2" xfId="38"/>
    <cellStyle name="Accent4 3" xfId="983"/>
    <cellStyle name="Accent5 2" xfId="42"/>
    <cellStyle name="Accent5 3" xfId="987"/>
    <cellStyle name="Accent6 2" xfId="46"/>
    <cellStyle name="Accent6 3" xfId="991"/>
    <cellStyle name="Arrow" xfId="61"/>
    <cellStyle name="AutreData" xfId="13"/>
    <cellStyle name="AutreData 2" xfId="108"/>
    <cellStyle name="AutreData 2 2" xfId="129"/>
    <cellStyle name="AutreData 3" xfId="124"/>
    <cellStyle name="AutreData 3 2" xfId="120"/>
    <cellStyle name="Avertissement 2" xfId="967"/>
    <cellStyle name="Back_button" xfId="62"/>
    <cellStyle name="Background" xfId="121"/>
    <cellStyle name="Background 2" xfId="128"/>
    <cellStyle name="Background 3" xfId="134"/>
    <cellStyle name="Calcul 2" xfId="964"/>
    <cellStyle name="Cell_Gen" xfId="63"/>
    <cellStyle name="Cellule liée 2" xfId="965"/>
    <cellStyle name="Commentaire 2" xfId="735"/>
    <cellStyle name="Commentaire 3" xfId="736"/>
    <cellStyle name="Commentaire 4" xfId="737"/>
    <cellStyle name="Commentaire 5" xfId="738"/>
    <cellStyle name="Commentaire 6" xfId="968"/>
    <cellStyle name="Constant (do not change)" xfId="133"/>
    <cellStyle name="Data" xfId="130"/>
    <cellStyle name="Data 2" xfId="127"/>
    <cellStyle name="Data 3" xfId="125"/>
    <cellStyle name="date" xfId="14"/>
    <cellStyle name="date 2" xfId="54"/>
    <cellStyle name="date 2 2" xfId="135"/>
    <cellStyle name="date 3" xfId="109"/>
    <cellStyle name="date 3 2" xfId="136"/>
    <cellStyle name="date 4" xfId="540"/>
    <cellStyle name="Date_pC" xfId="64"/>
    <cellStyle name="DealTypeStyle" xfId="137"/>
    <cellStyle name="DealTypeStyle 2" xfId="138"/>
    <cellStyle name="DealTypeStyle 3" xfId="139"/>
    <cellStyle name="Dec0" xfId="65"/>
    <cellStyle name="Dec1" xfId="66"/>
    <cellStyle name="Dec2" xfId="67"/>
    <cellStyle name="Dec3" xfId="68"/>
    <cellStyle name="Donnees" xfId="3"/>
    <cellStyle name="Echantillon" xfId="4"/>
    <cellStyle name="Echantillon 2" xfId="15"/>
    <cellStyle name="Echantillon 2 2" xfId="238"/>
    <cellStyle name="Echantillon 2 3" xfId="237"/>
    <cellStyle name="Echantillon 3" xfId="52"/>
    <cellStyle name="Echantillon 4" xfId="110"/>
    <cellStyle name="Echantillon 4 2" xfId="140"/>
    <cellStyle name="Echantillon 5" xfId="141"/>
    <cellStyle name="Echantillon 5 2" xfId="142"/>
    <cellStyle name="Entete" xfId="5"/>
    <cellStyle name="En-tête" xfId="240"/>
    <cellStyle name="Entete 10" xfId="106"/>
    <cellStyle name="entete 11" xfId="111"/>
    <cellStyle name="Entete 12" xfId="216"/>
    <cellStyle name="entete 12 2" xfId="239"/>
    <cellStyle name="Entete 13" xfId="214"/>
    <cellStyle name="entete 13 2" xfId="246"/>
    <cellStyle name="Entete 14" xfId="215"/>
    <cellStyle name="entete 14 2" xfId="494"/>
    <cellStyle name="entete 15" xfId="504"/>
    <cellStyle name="entete 16" xfId="516"/>
    <cellStyle name="entete 17" xfId="496"/>
    <cellStyle name="entete 18" xfId="514"/>
    <cellStyle name="entete 19" xfId="505"/>
    <cellStyle name="entete 2" xfId="16"/>
    <cellStyle name="Entete 2 10" xfId="506"/>
    <cellStyle name="Entete 2 10 2" xfId="542"/>
    <cellStyle name="entete 2 10 3" xfId="541"/>
    <cellStyle name="Entete 2 2" xfId="91"/>
    <cellStyle name="entete 2 2 2" xfId="242"/>
    <cellStyle name="Entete 2 3" xfId="241"/>
    <cellStyle name="Entete 2 3 2" xfId="544"/>
    <cellStyle name="entete 2 3 3" xfId="543"/>
    <cellStyle name="Entete 2 4" xfId="245"/>
    <cellStyle name="Entete 2 4 2" xfId="546"/>
    <cellStyle name="entete 2 4 3" xfId="545"/>
    <cellStyle name="Entete 2 5" xfId="493"/>
    <cellStyle name="Entete 2 5 2" xfId="548"/>
    <cellStyle name="entete 2 5 3" xfId="547"/>
    <cellStyle name="Entete 2 6" xfId="499"/>
    <cellStyle name="Entete 2 6 2" xfId="550"/>
    <cellStyle name="entete 2 6 3" xfId="549"/>
    <cellStyle name="Entete 2 7" xfId="515"/>
    <cellStyle name="Entete 2 7 2" xfId="552"/>
    <cellStyle name="entete 2 7 3" xfId="551"/>
    <cellStyle name="Entete 2 8" xfId="500"/>
    <cellStyle name="Entete 2 8 2" xfId="554"/>
    <cellStyle name="entete 2 8 3" xfId="553"/>
    <cellStyle name="Entete 2 9" xfId="513"/>
    <cellStyle name="Entete 2 9 2" xfId="556"/>
    <cellStyle name="entete 2 9 3" xfId="555"/>
    <cellStyle name="Entete 20" xfId="739"/>
    <cellStyle name="Entete 3" xfId="50"/>
    <cellStyle name="entete 3 10" xfId="557"/>
    <cellStyle name="Entete 3 2" xfId="558"/>
    <cellStyle name="entete 3 3" xfId="559"/>
    <cellStyle name="entete 3 4" xfId="560"/>
    <cellStyle name="entete 3 5" xfId="561"/>
    <cellStyle name="entete 3 6" xfId="562"/>
    <cellStyle name="entete 3 7" xfId="563"/>
    <cellStyle name="entete 3 8" xfId="564"/>
    <cellStyle name="entete 3 9" xfId="565"/>
    <cellStyle name="Entete 4" xfId="92"/>
    <cellStyle name="entete 4 2" xfId="143"/>
    <cellStyle name="entete 4 2 2" xfId="567"/>
    <cellStyle name="Entete 4 2 3" xfId="566"/>
    <cellStyle name="entete 4 3" xfId="568"/>
    <cellStyle name="entete 4 4" xfId="569"/>
    <cellStyle name="entete 4 5" xfId="570"/>
    <cellStyle name="entete 4 6" xfId="571"/>
    <cellStyle name="entete 4 7" xfId="572"/>
    <cellStyle name="entete 4 8" xfId="573"/>
    <cellStyle name="Entete 5" xfId="103"/>
    <cellStyle name="entete 5 2" xfId="144"/>
    <cellStyle name="entete 5 2 2" xfId="575"/>
    <cellStyle name="Entete 5 2 3" xfId="574"/>
    <cellStyle name="entete 5 3" xfId="576"/>
    <cellStyle name="entete 5 4" xfId="577"/>
    <cellStyle name="entete 5 5" xfId="578"/>
    <cellStyle name="Entete 6" xfId="104"/>
    <cellStyle name="entete 6 2" xfId="243"/>
    <cellStyle name="Entete 7" xfId="102"/>
    <cellStyle name="Entete 7 2" xfId="244"/>
    <cellStyle name="Entete 8" xfId="96"/>
    <cellStyle name="Entete 9" xfId="105"/>
    <cellStyle name="EnteteFiltre" xfId="17"/>
    <cellStyle name="EnteteFiltre 2" xfId="51"/>
    <cellStyle name="EnteteFiltre 2 2" xfId="145"/>
    <cellStyle name="EnteteFiltre 3" xfId="112"/>
    <cellStyle name="EnteteFiltre 3 2" xfId="146"/>
    <cellStyle name="EnteteFiltre 4" xfId="147"/>
    <cellStyle name="EnteteFiltre 4 2" xfId="580"/>
    <cellStyle name="EnteteFiltre 4 3" xfId="579"/>
    <cellStyle name="Entrée 2" xfId="962"/>
    <cellStyle name="Euro" xfId="6"/>
    <cellStyle name="Euro 2" xfId="148"/>
    <cellStyle name="Euro 2 2" xfId="213"/>
    <cellStyle name="Euro 2 2 2" xfId="231"/>
    <cellStyle name="Euro 2 2 2 2" xfId="657"/>
    <cellStyle name="Euro 2 2 2 2 2" xfId="733"/>
    <cellStyle name="Euro 2 2 2 2 2 2" xfId="1147"/>
    <cellStyle name="Euro 2 2 2 2 2 2 2" xfId="1519"/>
    <cellStyle name="Euro 2 2 2 2 2 2 3" xfId="1891"/>
    <cellStyle name="Euro 2 2 2 2 2 3" xfId="1336"/>
    <cellStyle name="Euro 2 2 2 2 2 4" xfId="1708"/>
    <cellStyle name="Euro 2 2 2 2 3" xfId="1071"/>
    <cellStyle name="Euro 2 2 2 2 3 2" xfId="1443"/>
    <cellStyle name="Euro 2 2 2 2 3 3" xfId="1815"/>
    <cellStyle name="Euro 2 2 2 2 4" xfId="1260"/>
    <cellStyle name="Euro 2 2 2 2 5" xfId="1632"/>
    <cellStyle name="Euro 2 2 2 3" xfId="687"/>
    <cellStyle name="Euro 2 2 2 3 2" xfId="1101"/>
    <cellStyle name="Euro 2 2 2 3 2 2" xfId="1473"/>
    <cellStyle name="Euro 2 2 2 3 2 3" xfId="1845"/>
    <cellStyle name="Euro 2 2 2 3 3" xfId="1290"/>
    <cellStyle name="Euro 2 2 2 3 4" xfId="1662"/>
    <cellStyle name="Euro 2 2 2 4" xfId="1025"/>
    <cellStyle name="Euro 2 2 2 4 2" xfId="1397"/>
    <cellStyle name="Euro 2 2 2 4 3" xfId="1769"/>
    <cellStyle name="Euro 2 2 2 5" xfId="1214"/>
    <cellStyle name="Euro 2 2 2 6" xfId="1586"/>
    <cellStyle name="Euro 2 2 3" xfId="248"/>
    <cellStyle name="Euro 2 2 4" xfId="645"/>
    <cellStyle name="Euro 2 2 4 2" xfId="721"/>
    <cellStyle name="Euro 2 2 4 2 2" xfId="1135"/>
    <cellStyle name="Euro 2 2 4 2 2 2" xfId="1507"/>
    <cellStyle name="Euro 2 2 4 2 2 3" xfId="1879"/>
    <cellStyle name="Euro 2 2 4 2 3" xfId="1324"/>
    <cellStyle name="Euro 2 2 4 2 4" xfId="1696"/>
    <cellStyle name="Euro 2 2 4 3" xfId="1059"/>
    <cellStyle name="Euro 2 2 4 3 2" xfId="1431"/>
    <cellStyle name="Euro 2 2 4 3 3" xfId="1803"/>
    <cellStyle name="Euro 2 2 4 4" xfId="1248"/>
    <cellStyle name="Euro 2 2 4 5" xfId="1620"/>
    <cellStyle name="Euro 2 2 5" xfId="672"/>
    <cellStyle name="Euro 2 2 5 2" xfId="1086"/>
    <cellStyle name="Euro 2 2 5 2 2" xfId="1458"/>
    <cellStyle name="Euro 2 2 5 2 3" xfId="1830"/>
    <cellStyle name="Euro 2 2 5 3" xfId="1275"/>
    <cellStyle name="Euro 2 2 5 4" xfId="1647"/>
    <cellStyle name="Euro 2 2 6" xfId="1010"/>
    <cellStyle name="Euro 2 2 6 2" xfId="1382"/>
    <cellStyle name="Euro 2 2 6 3" xfId="1754"/>
    <cellStyle name="Euro 2 2 7" xfId="1199"/>
    <cellStyle name="Euro 2 2 8" xfId="1571"/>
    <cellStyle name="Euro 2 3" xfId="206"/>
    <cellStyle name="Euro 2 3 2" xfId="225"/>
    <cellStyle name="Euro 2 3 2 2" xfId="653"/>
    <cellStyle name="Euro 2 3 2 2 2" xfId="729"/>
    <cellStyle name="Euro 2 3 2 2 2 2" xfId="1143"/>
    <cellStyle name="Euro 2 3 2 2 2 2 2" xfId="1515"/>
    <cellStyle name="Euro 2 3 2 2 2 2 3" xfId="1887"/>
    <cellStyle name="Euro 2 3 2 2 2 3" xfId="1332"/>
    <cellStyle name="Euro 2 3 2 2 2 4" xfId="1704"/>
    <cellStyle name="Euro 2 3 2 2 3" xfId="1067"/>
    <cellStyle name="Euro 2 3 2 2 3 2" xfId="1439"/>
    <cellStyle name="Euro 2 3 2 2 3 3" xfId="1811"/>
    <cellStyle name="Euro 2 3 2 2 4" xfId="1256"/>
    <cellStyle name="Euro 2 3 2 2 5" xfId="1628"/>
    <cellStyle name="Euro 2 3 2 3" xfId="681"/>
    <cellStyle name="Euro 2 3 2 3 2" xfId="1095"/>
    <cellStyle name="Euro 2 3 2 3 2 2" xfId="1467"/>
    <cellStyle name="Euro 2 3 2 3 2 3" xfId="1839"/>
    <cellStyle name="Euro 2 3 2 3 3" xfId="1284"/>
    <cellStyle name="Euro 2 3 2 3 4" xfId="1656"/>
    <cellStyle name="Euro 2 3 2 4" xfId="1019"/>
    <cellStyle name="Euro 2 3 2 4 2" xfId="1391"/>
    <cellStyle name="Euro 2 3 2 4 3" xfId="1763"/>
    <cellStyle name="Euro 2 3 2 5" xfId="1208"/>
    <cellStyle name="Euro 2 3 2 6" xfId="1580"/>
    <cellStyle name="Euro 2 3 3" xfId="247"/>
    <cellStyle name="Euro 2 3 4" xfId="643"/>
    <cellStyle name="Euro 2 3 4 2" xfId="719"/>
    <cellStyle name="Euro 2 3 4 2 2" xfId="1133"/>
    <cellStyle name="Euro 2 3 4 2 2 2" xfId="1505"/>
    <cellStyle name="Euro 2 3 4 2 2 3" xfId="1877"/>
    <cellStyle name="Euro 2 3 4 2 3" xfId="1322"/>
    <cellStyle name="Euro 2 3 4 2 4" xfId="1694"/>
    <cellStyle name="Euro 2 3 4 3" xfId="1057"/>
    <cellStyle name="Euro 2 3 4 3 2" xfId="1429"/>
    <cellStyle name="Euro 2 3 4 3 3" xfId="1801"/>
    <cellStyle name="Euro 2 3 4 4" xfId="1246"/>
    <cellStyle name="Euro 2 3 4 5" xfId="1618"/>
    <cellStyle name="Euro 2 3 5" xfId="666"/>
    <cellStyle name="Euro 2 3 5 2" xfId="1080"/>
    <cellStyle name="Euro 2 3 5 2 2" xfId="1452"/>
    <cellStyle name="Euro 2 3 5 2 3" xfId="1824"/>
    <cellStyle name="Euro 2 3 5 3" xfId="1269"/>
    <cellStyle name="Euro 2 3 5 4" xfId="1641"/>
    <cellStyle name="Euro 2 3 6" xfId="1004"/>
    <cellStyle name="Euro 2 3 6 2" xfId="1376"/>
    <cellStyle name="Euro 2 3 6 3" xfId="1748"/>
    <cellStyle name="Euro 2 3 7" xfId="1193"/>
    <cellStyle name="Euro 2 3 8" xfId="1565"/>
    <cellStyle name="Euro 2 4" xfId="741"/>
    <cellStyle name="Euro 3" xfId="149"/>
    <cellStyle name="Euro 3 2" xfId="250"/>
    <cellStyle name="Euro 3 3" xfId="249"/>
    <cellStyle name="Euro 3 4" xfId="758"/>
    <cellStyle name="Euro 3 4 2" xfId="1150"/>
    <cellStyle name="Euro 3 4 2 2" xfId="1522"/>
    <cellStyle name="Euro 3 4 2 3" xfId="1894"/>
    <cellStyle name="Euro 3 4 3" xfId="1339"/>
    <cellStyle name="Euro 3 4 4" xfId="1711"/>
    <cellStyle name="Euro 4" xfId="150"/>
    <cellStyle name="Euro 4 2" xfId="251"/>
    <cellStyle name="Euro 5" xfId="252"/>
    <cellStyle name="Euro 6" xfId="253"/>
    <cellStyle name="Euro 6 2" xfId="524"/>
    <cellStyle name="Euro 6 2 2" xfId="701"/>
    <cellStyle name="Euro 6 2 2 2" xfId="1115"/>
    <cellStyle name="Euro 6 2 2 2 2" xfId="1487"/>
    <cellStyle name="Euro 6 2 2 2 3" xfId="1859"/>
    <cellStyle name="Euro 6 2 2 3" xfId="1304"/>
    <cellStyle name="Euro 6 2 2 4" xfId="1676"/>
    <cellStyle name="Euro 6 2 3" xfId="1039"/>
    <cellStyle name="Euro 6 2 3 2" xfId="1411"/>
    <cellStyle name="Euro 6 2 3 3" xfId="1783"/>
    <cellStyle name="Euro 6 2 4" xfId="1228"/>
    <cellStyle name="Euro 6 2 5" xfId="1600"/>
    <cellStyle name="Euro 6 3" xfId="691"/>
    <cellStyle name="Euro 6 3 2" xfId="1105"/>
    <cellStyle name="Euro 6 3 2 2" xfId="1477"/>
    <cellStyle name="Euro 6 3 2 3" xfId="1849"/>
    <cellStyle name="Euro 6 3 3" xfId="1294"/>
    <cellStyle name="Euro 6 3 4" xfId="1666"/>
    <cellStyle name="Euro 6 4" xfId="1029"/>
    <cellStyle name="Euro 6 4 2" xfId="1401"/>
    <cellStyle name="Euro 6 4 3" xfId="1773"/>
    <cellStyle name="Euro 6 5" xfId="1218"/>
    <cellStyle name="Euro 6 6" xfId="1590"/>
    <cellStyle name="Euro 7" xfId="740"/>
    <cellStyle name="fact" xfId="69"/>
    <cellStyle name="fact 2" xfId="254"/>
    <cellStyle name="fact 2 2" xfId="743"/>
    <cellStyle name="fact 3" xfId="255"/>
    <cellStyle name="fact 4" xfId="256"/>
    <cellStyle name="fact 5" xfId="742"/>
    <cellStyle name="Famille" xfId="257"/>
    <cellStyle name="Gen_Admin_Black_pD" xfId="70"/>
    <cellStyle name="Header" xfId="151"/>
    <cellStyle name="Header 2" xfId="152"/>
    <cellStyle name="Header 3" xfId="153"/>
    <cellStyle name="Indice" xfId="203"/>
    <cellStyle name="Indice 2" xfId="258"/>
    <cellStyle name="Input" xfId="154"/>
    <cellStyle name="Insatisfaisant 2" xfId="960"/>
    <cellStyle name="JCF-ColumnTitle" xfId="744"/>
    <cellStyle name="JCF-Data" xfId="745"/>
    <cellStyle name="JCF-Detail" xfId="259"/>
    <cellStyle name="JCF-LOGO" xfId="746"/>
    <cellStyle name="JCF-RowTitle" xfId="747"/>
    <cellStyle name="JCF-Title" xfId="748"/>
    <cellStyle name="JCF-Titre" xfId="260"/>
    <cellStyle name="JCF-Titre colonne" xfId="261"/>
    <cellStyle name="JCF-Titre ligne" xfId="262"/>
    <cellStyle name="JCF-Titre_Base00" xfId="749"/>
    <cellStyle name="Label" xfId="155"/>
    <cellStyle name="Lien hypertexte" xfId="1923" builtinId="8"/>
    <cellStyle name="Lien hypertexte 2" xfId="263"/>
    <cellStyle name="Lien hypertexte 2 2" xfId="995"/>
    <cellStyle name="Ligne detail" xfId="7"/>
    <cellStyle name="Ligne détail" xfId="8"/>
    <cellStyle name="Ligne detail 10" xfId="498"/>
    <cellStyle name="Ligne detail 2" xfId="265"/>
    <cellStyle name="Ligne detail 3" xfId="264"/>
    <cellStyle name="Ligne detail 4" xfId="236"/>
    <cellStyle name="Ligne detail 5" xfId="492"/>
    <cellStyle name="Ligne detail 6" xfId="502"/>
    <cellStyle name="Ligne detail 7" xfId="508"/>
    <cellStyle name="Ligne detail 8" xfId="497"/>
    <cellStyle name="Ligne detail 9" xfId="507"/>
    <cellStyle name="ligne_detail" xfId="71"/>
    <cellStyle name="Lines_Gen_pD" xfId="72"/>
    <cellStyle name="Logo" xfId="73"/>
    <cellStyle name="MEV_TL1" xfId="266"/>
    <cellStyle name="MEV1" xfId="267"/>
    <cellStyle name="MEV2" xfId="268"/>
    <cellStyle name="MEV3" xfId="269"/>
    <cellStyle name="Milliers" xfId="59" builtinId="3"/>
    <cellStyle name="Milliers 10" xfId="658"/>
    <cellStyle name="Milliers 10 2" xfId="1072"/>
    <cellStyle name="Milliers 10 2 2" xfId="1444"/>
    <cellStyle name="Milliers 10 2 3" xfId="1816"/>
    <cellStyle name="Milliers 10 3" xfId="1261"/>
    <cellStyle name="Milliers 10 4" xfId="1633"/>
    <cellStyle name="Milliers 11" xfId="196"/>
    <cellStyle name="Milliers 11 2" xfId="1185"/>
    <cellStyle name="Milliers 11 3" xfId="1557"/>
    <cellStyle name="Milliers 12" xfId="996"/>
    <cellStyle name="Milliers 12 2" xfId="1368"/>
    <cellStyle name="Milliers 12 3" xfId="1740"/>
    <cellStyle name="Milliers 13" xfId="1179"/>
    <cellStyle name="Milliers 14" xfId="1551"/>
    <cellStyle name="Milliers 2" xfId="74"/>
    <cellStyle name="Milliers 2 10" xfId="997"/>
    <cellStyle name="Milliers 2 10 2" xfId="1369"/>
    <cellStyle name="Milliers 2 10 3" xfId="1741"/>
    <cellStyle name="Milliers 2 11" xfId="1180"/>
    <cellStyle name="Milliers 2 12" xfId="1552"/>
    <cellStyle name="Milliers 2 2" xfId="97"/>
    <cellStyle name="Milliers 2 2 2" xfId="272"/>
    <cellStyle name="Milliers 2 2 2 2" xfId="527"/>
    <cellStyle name="Milliers 2 2 2 2 2" xfId="703"/>
    <cellStyle name="Milliers 2 2 2 2 2 2" xfId="1117"/>
    <cellStyle name="Milliers 2 2 2 2 2 2 2" xfId="1489"/>
    <cellStyle name="Milliers 2 2 2 2 2 2 3" xfId="1861"/>
    <cellStyle name="Milliers 2 2 2 2 2 3" xfId="1306"/>
    <cellStyle name="Milliers 2 2 2 2 2 4" xfId="1678"/>
    <cellStyle name="Milliers 2 2 2 2 3" xfId="1041"/>
    <cellStyle name="Milliers 2 2 2 2 3 2" xfId="1413"/>
    <cellStyle name="Milliers 2 2 2 2 3 3" xfId="1785"/>
    <cellStyle name="Milliers 2 2 2 2 4" xfId="1230"/>
    <cellStyle name="Milliers 2 2 2 2 5" xfId="1602"/>
    <cellStyle name="Milliers 2 2 2 3" xfId="582"/>
    <cellStyle name="Milliers 2 2 2 4" xfId="693"/>
    <cellStyle name="Milliers 2 2 2 4 2" xfId="1107"/>
    <cellStyle name="Milliers 2 2 2 4 2 2" xfId="1479"/>
    <cellStyle name="Milliers 2 2 2 4 2 3" xfId="1851"/>
    <cellStyle name="Milliers 2 2 2 4 3" xfId="1296"/>
    <cellStyle name="Milliers 2 2 2 4 4" xfId="1668"/>
    <cellStyle name="Milliers 2 2 2 5" xfId="1031"/>
    <cellStyle name="Milliers 2 2 2 5 2" xfId="1403"/>
    <cellStyle name="Milliers 2 2 2 5 3" xfId="1775"/>
    <cellStyle name="Milliers 2 2 2 6" xfId="1220"/>
    <cellStyle name="Milliers 2 2 2 7" xfId="1592"/>
    <cellStyle name="Milliers 2 2 3" xfId="271"/>
    <cellStyle name="Milliers 2 2 3 2" xfId="526"/>
    <cellStyle name="Milliers 2 2 3 2 2" xfId="702"/>
    <cellStyle name="Milliers 2 2 3 2 2 2" xfId="1116"/>
    <cellStyle name="Milliers 2 2 3 2 2 2 2" xfId="1488"/>
    <cellStyle name="Milliers 2 2 3 2 2 2 3" xfId="1860"/>
    <cellStyle name="Milliers 2 2 3 2 2 3" xfId="1305"/>
    <cellStyle name="Milliers 2 2 3 2 2 4" xfId="1677"/>
    <cellStyle name="Milliers 2 2 3 2 3" xfId="1040"/>
    <cellStyle name="Milliers 2 2 3 2 3 2" xfId="1412"/>
    <cellStyle name="Milliers 2 2 3 2 3 3" xfId="1784"/>
    <cellStyle name="Milliers 2 2 3 2 4" xfId="1229"/>
    <cellStyle name="Milliers 2 2 3 2 5" xfId="1601"/>
    <cellStyle name="Milliers 2 2 3 3" xfId="583"/>
    <cellStyle name="Milliers 2 2 3 3 2" xfId="709"/>
    <cellStyle name="Milliers 2 2 3 3 2 2" xfId="1123"/>
    <cellStyle name="Milliers 2 2 3 3 2 2 2" xfId="1495"/>
    <cellStyle name="Milliers 2 2 3 3 2 2 3" xfId="1867"/>
    <cellStyle name="Milliers 2 2 3 3 2 3" xfId="1312"/>
    <cellStyle name="Milliers 2 2 3 3 2 4" xfId="1684"/>
    <cellStyle name="Milliers 2 2 3 3 3" xfId="1047"/>
    <cellStyle name="Milliers 2 2 3 3 3 2" xfId="1419"/>
    <cellStyle name="Milliers 2 2 3 3 3 3" xfId="1791"/>
    <cellStyle name="Milliers 2 2 3 3 4" xfId="1236"/>
    <cellStyle name="Milliers 2 2 3 3 5" xfId="1608"/>
    <cellStyle name="Milliers 2 2 3 4" xfId="692"/>
    <cellStyle name="Milliers 2 2 3 4 2" xfId="1106"/>
    <cellStyle name="Milliers 2 2 3 4 2 2" xfId="1478"/>
    <cellStyle name="Milliers 2 2 3 4 2 3" xfId="1850"/>
    <cellStyle name="Milliers 2 2 3 4 3" xfId="1295"/>
    <cellStyle name="Milliers 2 2 3 4 4" xfId="1667"/>
    <cellStyle name="Milliers 2 2 3 5" xfId="1030"/>
    <cellStyle name="Milliers 2 2 3 5 2" xfId="1402"/>
    <cellStyle name="Milliers 2 2 3 5 3" xfId="1774"/>
    <cellStyle name="Milliers 2 2 3 6" xfId="1219"/>
    <cellStyle name="Milliers 2 2 3 7" xfId="1591"/>
    <cellStyle name="Milliers 2 2 4" xfId="581"/>
    <cellStyle name="Milliers 2 2 4 2" xfId="708"/>
    <cellStyle name="Milliers 2 2 4 2 2" xfId="1122"/>
    <cellStyle name="Milliers 2 2 4 2 2 2" xfId="1494"/>
    <cellStyle name="Milliers 2 2 4 2 2 3" xfId="1866"/>
    <cellStyle name="Milliers 2 2 4 2 3" xfId="1311"/>
    <cellStyle name="Milliers 2 2 4 2 4" xfId="1683"/>
    <cellStyle name="Milliers 2 2 4 3" xfId="1046"/>
    <cellStyle name="Milliers 2 2 4 3 2" xfId="1418"/>
    <cellStyle name="Milliers 2 2 4 3 3" xfId="1790"/>
    <cellStyle name="Milliers 2 2 4 4" xfId="1235"/>
    <cellStyle name="Milliers 2 2 4 5" xfId="1607"/>
    <cellStyle name="Milliers 2 2 5" xfId="781"/>
    <cellStyle name="Milliers 2 2 5 2" xfId="1154"/>
    <cellStyle name="Milliers 2 2 5 2 2" xfId="1526"/>
    <cellStyle name="Milliers 2 2 5 2 3" xfId="1898"/>
    <cellStyle name="Milliers 2 2 5 3" xfId="1343"/>
    <cellStyle name="Milliers 2 2 5 4" xfId="1715"/>
    <cellStyle name="Milliers 2 3" xfId="193"/>
    <cellStyle name="Milliers 2 3 10" xfId="1183"/>
    <cellStyle name="Milliers 2 3 11" xfId="1555"/>
    <cellStyle name="Milliers 2 3 2" xfId="211"/>
    <cellStyle name="Milliers 2 3 2 2" xfId="229"/>
    <cellStyle name="Milliers 2 3 2 2 2" xfId="531"/>
    <cellStyle name="Milliers 2 3 2 2 2 2" xfId="706"/>
    <cellStyle name="Milliers 2 3 2 2 2 2 2" xfId="1120"/>
    <cellStyle name="Milliers 2 3 2 2 2 2 2 2" xfId="1492"/>
    <cellStyle name="Milliers 2 3 2 2 2 2 2 3" xfId="1864"/>
    <cellStyle name="Milliers 2 3 2 2 2 2 3" xfId="1309"/>
    <cellStyle name="Milliers 2 3 2 2 2 2 4" xfId="1681"/>
    <cellStyle name="Milliers 2 3 2 2 2 3" xfId="1044"/>
    <cellStyle name="Milliers 2 3 2 2 2 3 2" xfId="1416"/>
    <cellStyle name="Milliers 2 3 2 2 2 3 3" xfId="1788"/>
    <cellStyle name="Milliers 2 3 2 2 2 4" xfId="1233"/>
    <cellStyle name="Milliers 2 3 2 2 2 5" xfId="1605"/>
    <cellStyle name="Milliers 2 3 2 2 3" xfId="685"/>
    <cellStyle name="Milliers 2 3 2 2 3 2" xfId="1099"/>
    <cellStyle name="Milliers 2 3 2 2 3 2 2" xfId="1471"/>
    <cellStyle name="Milliers 2 3 2 2 3 2 3" xfId="1843"/>
    <cellStyle name="Milliers 2 3 2 2 3 3" xfId="1288"/>
    <cellStyle name="Milliers 2 3 2 2 3 4" xfId="1660"/>
    <cellStyle name="Milliers 2 3 2 2 4" xfId="1023"/>
    <cellStyle name="Milliers 2 3 2 2 4 2" xfId="1395"/>
    <cellStyle name="Milliers 2 3 2 2 4 3" xfId="1767"/>
    <cellStyle name="Milliers 2 3 2 2 5" xfId="1212"/>
    <cellStyle name="Milliers 2 3 2 2 6" xfId="1584"/>
    <cellStyle name="Milliers 2 3 2 3" xfId="510"/>
    <cellStyle name="Milliers 2 3 2 3 2" xfId="696"/>
    <cellStyle name="Milliers 2 3 2 3 2 2" xfId="1110"/>
    <cellStyle name="Milliers 2 3 2 3 2 2 2" xfId="1482"/>
    <cellStyle name="Milliers 2 3 2 3 2 2 3" xfId="1854"/>
    <cellStyle name="Milliers 2 3 2 3 2 3" xfId="1299"/>
    <cellStyle name="Milliers 2 3 2 3 2 4" xfId="1671"/>
    <cellStyle name="Milliers 2 3 2 3 3" xfId="1034"/>
    <cellStyle name="Milliers 2 3 2 3 3 2" xfId="1406"/>
    <cellStyle name="Milliers 2 3 2 3 3 3" xfId="1778"/>
    <cellStyle name="Milliers 2 3 2 3 4" xfId="1223"/>
    <cellStyle name="Milliers 2 3 2 3 5" xfId="1595"/>
    <cellStyle name="Milliers 2 3 2 4" xfId="670"/>
    <cellStyle name="Milliers 2 3 2 4 2" xfId="1084"/>
    <cellStyle name="Milliers 2 3 2 4 2 2" xfId="1456"/>
    <cellStyle name="Milliers 2 3 2 4 2 3" xfId="1828"/>
    <cellStyle name="Milliers 2 3 2 4 3" xfId="1273"/>
    <cellStyle name="Milliers 2 3 2 4 4" xfId="1645"/>
    <cellStyle name="Milliers 2 3 2 5" xfId="1008"/>
    <cellStyle name="Milliers 2 3 2 5 2" xfId="1380"/>
    <cellStyle name="Milliers 2 3 2 5 3" xfId="1752"/>
    <cellStyle name="Milliers 2 3 2 6" xfId="1197"/>
    <cellStyle name="Milliers 2 3 2 7" xfId="1569"/>
    <cellStyle name="Milliers 2 3 3" xfId="223"/>
    <cellStyle name="Milliers 2 3 3 2" xfId="528"/>
    <cellStyle name="Milliers 2 3 3 2 2" xfId="704"/>
    <cellStyle name="Milliers 2 3 3 2 2 2" xfId="1118"/>
    <cellStyle name="Milliers 2 3 3 2 2 2 2" xfId="1490"/>
    <cellStyle name="Milliers 2 3 3 2 2 2 3" xfId="1862"/>
    <cellStyle name="Milliers 2 3 3 2 2 3" xfId="1307"/>
    <cellStyle name="Milliers 2 3 3 2 2 4" xfId="1679"/>
    <cellStyle name="Milliers 2 3 3 2 3" xfId="1042"/>
    <cellStyle name="Milliers 2 3 3 2 3 2" xfId="1414"/>
    <cellStyle name="Milliers 2 3 3 2 3 3" xfId="1786"/>
    <cellStyle name="Milliers 2 3 3 2 4" xfId="1231"/>
    <cellStyle name="Milliers 2 3 3 2 5" xfId="1603"/>
    <cellStyle name="Milliers 2 3 3 3" xfId="652"/>
    <cellStyle name="Milliers 2 3 3 3 2" xfId="728"/>
    <cellStyle name="Milliers 2 3 3 3 2 2" xfId="1142"/>
    <cellStyle name="Milliers 2 3 3 3 2 2 2" xfId="1514"/>
    <cellStyle name="Milliers 2 3 3 3 2 2 3" xfId="1886"/>
    <cellStyle name="Milliers 2 3 3 3 2 3" xfId="1331"/>
    <cellStyle name="Milliers 2 3 3 3 2 4" xfId="1703"/>
    <cellStyle name="Milliers 2 3 3 3 3" xfId="1066"/>
    <cellStyle name="Milliers 2 3 3 3 3 2" xfId="1438"/>
    <cellStyle name="Milliers 2 3 3 3 3 3" xfId="1810"/>
    <cellStyle name="Milliers 2 3 3 3 4" xfId="1255"/>
    <cellStyle name="Milliers 2 3 3 3 5" xfId="1627"/>
    <cellStyle name="Milliers 2 3 3 4" xfId="679"/>
    <cellStyle name="Milliers 2 3 3 4 2" xfId="1093"/>
    <cellStyle name="Milliers 2 3 3 4 2 2" xfId="1465"/>
    <cellStyle name="Milliers 2 3 3 4 2 3" xfId="1837"/>
    <cellStyle name="Milliers 2 3 3 4 3" xfId="1282"/>
    <cellStyle name="Milliers 2 3 3 4 4" xfId="1654"/>
    <cellStyle name="Milliers 2 3 3 5" xfId="1017"/>
    <cellStyle name="Milliers 2 3 3 5 2" xfId="1389"/>
    <cellStyle name="Milliers 2 3 3 5 3" xfId="1761"/>
    <cellStyle name="Milliers 2 3 3 6" xfId="1206"/>
    <cellStyle name="Milliers 2 3 3 7" xfId="1578"/>
    <cellStyle name="Milliers 2 3 4" xfId="584"/>
    <cellStyle name="Milliers 2 3 4 2" xfId="710"/>
    <cellStyle name="Milliers 2 3 4 2 2" xfId="1124"/>
    <cellStyle name="Milliers 2 3 4 2 2 2" xfId="1496"/>
    <cellStyle name="Milliers 2 3 4 2 2 3" xfId="1868"/>
    <cellStyle name="Milliers 2 3 4 2 3" xfId="1313"/>
    <cellStyle name="Milliers 2 3 4 2 4" xfId="1685"/>
    <cellStyle name="Milliers 2 3 4 3" xfId="1048"/>
    <cellStyle name="Milliers 2 3 4 3 2" xfId="1420"/>
    <cellStyle name="Milliers 2 3 4 3 3" xfId="1792"/>
    <cellStyle name="Milliers 2 3 4 4" xfId="1237"/>
    <cellStyle name="Milliers 2 3 4 5" xfId="1609"/>
    <cellStyle name="Milliers 2 3 5" xfId="273"/>
    <cellStyle name="Milliers 2 3 5 2" xfId="694"/>
    <cellStyle name="Milliers 2 3 5 2 2" xfId="1108"/>
    <cellStyle name="Milliers 2 3 5 2 2 2" xfId="1480"/>
    <cellStyle name="Milliers 2 3 5 2 2 3" xfId="1852"/>
    <cellStyle name="Milliers 2 3 5 2 3" xfId="1297"/>
    <cellStyle name="Milliers 2 3 5 2 4" xfId="1669"/>
    <cellStyle name="Milliers 2 3 5 3" xfId="1032"/>
    <cellStyle name="Milliers 2 3 5 3 2" xfId="1404"/>
    <cellStyle name="Milliers 2 3 5 3 3" xfId="1776"/>
    <cellStyle name="Milliers 2 3 5 4" xfId="1221"/>
    <cellStyle name="Milliers 2 3 5 5" xfId="1593"/>
    <cellStyle name="Milliers 2 3 6" xfId="763"/>
    <cellStyle name="Milliers 2 3 7" xfId="664"/>
    <cellStyle name="Milliers 2 3 7 2" xfId="1078"/>
    <cellStyle name="Milliers 2 3 7 2 2" xfId="1450"/>
    <cellStyle name="Milliers 2 3 7 2 3" xfId="1822"/>
    <cellStyle name="Milliers 2 3 7 3" xfId="1267"/>
    <cellStyle name="Milliers 2 3 7 4" xfId="1639"/>
    <cellStyle name="Milliers 2 3 8" xfId="204"/>
    <cellStyle name="Milliers 2 3 8 2" xfId="1191"/>
    <cellStyle name="Milliers 2 3 8 3" xfId="1563"/>
    <cellStyle name="Milliers 2 3 9" xfId="1002"/>
    <cellStyle name="Milliers 2 3 9 2" xfId="1374"/>
    <cellStyle name="Milliers 2 3 9 3" xfId="1746"/>
    <cellStyle name="Milliers 2 4" xfId="209"/>
    <cellStyle name="Milliers 2 4 2" xfId="227"/>
    <cellStyle name="Milliers 2 4 2 2" xfId="585"/>
    <cellStyle name="Milliers 2 4 2 2 2" xfId="711"/>
    <cellStyle name="Milliers 2 4 2 2 2 2" xfId="1125"/>
    <cellStyle name="Milliers 2 4 2 2 2 2 2" xfId="1497"/>
    <cellStyle name="Milliers 2 4 2 2 2 2 3" xfId="1869"/>
    <cellStyle name="Milliers 2 4 2 2 2 3" xfId="1314"/>
    <cellStyle name="Milliers 2 4 2 2 2 4" xfId="1686"/>
    <cellStyle name="Milliers 2 4 2 2 3" xfId="1049"/>
    <cellStyle name="Milliers 2 4 2 2 3 2" xfId="1421"/>
    <cellStyle name="Milliers 2 4 2 2 3 3" xfId="1793"/>
    <cellStyle name="Milliers 2 4 2 2 4" xfId="1238"/>
    <cellStyle name="Milliers 2 4 2 2 5" xfId="1610"/>
    <cellStyle name="Milliers 2 4 2 3" xfId="532"/>
    <cellStyle name="Milliers 2 4 2 3 2" xfId="707"/>
    <cellStyle name="Milliers 2 4 2 3 2 2" xfId="1121"/>
    <cellStyle name="Milliers 2 4 2 3 2 2 2" xfId="1493"/>
    <cellStyle name="Milliers 2 4 2 3 2 2 3" xfId="1865"/>
    <cellStyle name="Milliers 2 4 2 3 2 3" xfId="1310"/>
    <cellStyle name="Milliers 2 4 2 3 2 4" xfId="1682"/>
    <cellStyle name="Milliers 2 4 2 3 3" xfId="1045"/>
    <cellStyle name="Milliers 2 4 2 3 3 2" xfId="1417"/>
    <cellStyle name="Milliers 2 4 2 3 3 3" xfId="1789"/>
    <cellStyle name="Milliers 2 4 2 3 4" xfId="1234"/>
    <cellStyle name="Milliers 2 4 2 3 5" xfId="1606"/>
    <cellStyle name="Milliers 2 4 2 4" xfId="683"/>
    <cellStyle name="Milliers 2 4 2 4 2" xfId="1097"/>
    <cellStyle name="Milliers 2 4 2 4 2 2" xfId="1469"/>
    <cellStyle name="Milliers 2 4 2 4 2 3" xfId="1841"/>
    <cellStyle name="Milliers 2 4 2 4 3" xfId="1286"/>
    <cellStyle name="Milliers 2 4 2 4 4" xfId="1658"/>
    <cellStyle name="Milliers 2 4 2 5" xfId="1021"/>
    <cellStyle name="Milliers 2 4 2 5 2" xfId="1393"/>
    <cellStyle name="Milliers 2 4 2 5 3" xfId="1765"/>
    <cellStyle name="Milliers 2 4 2 6" xfId="1210"/>
    <cellStyle name="Milliers 2 4 2 7" xfId="1582"/>
    <cellStyle name="Milliers 2 4 3" xfId="511"/>
    <cellStyle name="Milliers 2 4 3 2" xfId="697"/>
    <cellStyle name="Milliers 2 4 3 2 2" xfId="1111"/>
    <cellStyle name="Milliers 2 4 3 2 2 2" xfId="1483"/>
    <cellStyle name="Milliers 2 4 3 2 2 3" xfId="1855"/>
    <cellStyle name="Milliers 2 4 3 2 3" xfId="1300"/>
    <cellStyle name="Milliers 2 4 3 2 4" xfId="1672"/>
    <cellStyle name="Milliers 2 4 3 3" xfId="1035"/>
    <cellStyle name="Milliers 2 4 3 3 2" xfId="1407"/>
    <cellStyle name="Milliers 2 4 3 3 3" xfId="1779"/>
    <cellStyle name="Milliers 2 4 3 4" xfId="1224"/>
    <cellStyle name="Milliers 2 4 3 5" xfId="1596"/>
    <cellStyle name="Milliers 2 4 4" xfId="668"/>
    <cellStyle name="Milliers 2 4 4 2" xfId="1082"/>
    <cellStyle name="Milliers 2 4 4 2 2" xfId="1454"/>
    <cellStyle name="Milliers 2 4 4 2 3" xfId="1826"/>
    <cellStyle name="Milliers 2 4 4 3" xfId="1271"/>
    <cellStyle name="Milliers 2 4 4 4" xfId="1643"/>
    <cellStyle name="Milliers 2 4 5" xfId="1006"/>
    <cellStyle name="Milliers 2 4 5 2" xfId="1378"/>
    <cellStyle name="Milliers 2 4 5 3" xfId="1750"/>
    <cellStyle name="Milliers 2 4 6" xfId="1195"/>
    <cellStyle name="Milliers 2 4 7" xfId="1567"/>
    <cellStyle name="Milliers 2 5" xfId="200"/>
    <cellStyle name="Milliers 2 5 2" xfId="221"/>
    <cellStyle name="Milliers 2 5 2 2" xfId="650"/>
    <cellStyle name="Milliers 2 5 2 2 2" xfId="726"/>
    <cellStyle name="Milliers 2 5 2 2 2 2" xfId="1140"/>
    <cellStyle name="Milliers 2 5 2 2 2 2 2" xfId="1512"/>
    <cellStyle name="Milliers 2 5 2 2 2 2 3" xfId="1884"/>
    <cellStyle name="Milliers 2 5 2 2 2 3" xfId="1329"/>
    <cellStyle name="Milliers 2 5 2 2 2 4" xfId="1701"/>
    <cellStyle name="Milliers 2 5 2 2 3" xfId="1064"/>
    <cellStyle name="Milliers 2 5 2 2 3 2" xfId="1436"/>
    <cellStyle name="Milliers 2 5 2 2 3 3" xfId="1808"/>
    <cellStyle name="Milliers 2 5 2 2 4" xfId="1253"/>
    <cellStyle name="Milliers 2 5 2 2 5" xfId="1625"/>
    <cellStyle name="Milliers 2 5 2 3" xfId="677"/>
    <cellStyle name="Milliers 2 5 2 3 2" xfId="1091"/>
    <cellStyle name="Milliers 2 5 2 3 2 2" xfId="1463"/>
    <cellStyle name="Milliers 2 5 2 3 2 3" xfId="1835"/>
    <cellStyle name="Milliers 2 5 2 3 3" xfId="1280"/>
    <cellStyle name="Milliers 2 5 2 3 4" xfId="1652"/>
    <cellStyle name="Milliers 2 5 2 4" xfId="1015"/>
    <cellStyle name="Milliers 2 5 2 4 2" xfId="1387"/>
    <cellStyle name="Milliers 2 5 2 4 3" xfId="1759"/>
    <cellStyle name="Milliers 2 5 2 5" xfId="1204"/>
    <cellStyle name="Milliers 2 5 2 6" xfId="1576"/>
    <cellStyle name="Milliers 2 5 3" xfId="521"/>
    <cellStyle name="Milliers 2 5 3 2" xfId="699"/>
    <cellStyle name="Milliers 2 5 3 2 2" xfId="1113"/>
    <cellStyle name="Milliers 2 5 3 2 2 2" xfId="1485"/>
    <cellStyle name="Milliers 2 5 3 2 2 3" xfId="1857"/>
    <cellStyle name="Milliers 2 5 3 2 3" xfId="1302"/>
    <cellStyle name="Milliers 2 5 3 2 4" xfId="1674"/>
    <cellStyle name="Milliers 2 5 3 3" xfId="1037"/>
    <cellStyle name="Milliers 2 5 3 3 2" xfId="1409"/>
    <cellStyle name="Milliers 2 5 3 3 3" xfId="1781"/>
    <cellStyle name="Milliers 2 5 3 4" xfId="1226"/>
    <cellStyle name="Milliers 2 5 3 5" xfId="1598"/>
    <cellStyle name="Milliers 2 5 4" xfId="662"/>
    <cellStyle name="Milliers 2 5 4 2" xfId="1076"/>
    <cellStyle name="Milliers 2 5 4 2 2" xfId="1448"/>
    <cellStyle name="Milliers 2 5 4 2 3" xfId="1820"/>
    <cellStyle name="Milliers 2 5 4 3" xfId="1265"/>
    <cellStyle name="Milliers 2 5 4 4" xfId="1637"/>
    <cellStyle name="Milliers 2 5 5" xfId="1000"/>
    <cellStyle name="Milliers 2 5 5 2" xfId="1372"/>
    <cellStyle name="Milliers 2 5 5 3" xfId="1744"/>
    <cellStyle name="Milliers 2 5 6" xfId="1189"/>
    <cellStyle name="Milliers 2 5 7" xfId="1561"/>
    <cellStyle name="Milliers 2 6" xfId="218"/>
    <cellStyle name="Milliers 2 6 2" xfId="647"/>
    <cellStyle name="Milliers 2 6 2 2" xfId="723"/>
    <cellStyle name="Milliers 2 6 2 2 2" xfId="1137"/>
    <cellStyle name="Milliers 2 6 2 2 2 2" xfId="1509"/>
    <cellStyle name="Milliers 2 6 2 2 2 3" xfId="1881"/>
    <cellStyle name="Milliers 2 6 2 2 3" xfId="1326"/>
    <cellStyle name="Milliers 2 6 2 2 4" xfId="1698"/>
    <cellStyle name="Milliers 2 6 2 3" xfId="1061"/>
    <cellStyle name="Milliers 2 6 2 3 2" xfId="1433"/>
    <cellStyle name="Milliers 2 6 2 3 3" xfId="1805"/>
    <cellStyle name="Milliers 2 6 2 4" xfId="1250"/>
    <cellStyle name="Milliers 2 6 2 5" xfId="1622"/>
    <cellStyle name="Milliers 2 6 3" xfId="674"/>
    <cellStyle name="Milliers 2 6 3 2" xfId="1088"/>
    <cellStyle name="Milliers 2 6 3 2 2" xfId="1460"/>
    <cellStyle name="Milliers 2 6 3 2 3" xfId="1832"/>
    <cellStyle name="Milliers 2 6 3 3" xfId="1277"/>
    <cellStyle name="Milliers 2 6 3 4" xfId="1649"/>
    <cellStyle name="Milliers 2 6 4" xfId="1012"/>
    <cellStyle name="Milliers 2 6 4 2" xfId="1384"/>
    <cellStyle name="Milliers 2 6 4 3" xfId="1756"/>
    <cellStyle name="Milliers 2 6 5" xfId="1201"/>
    <cellStyle name="Milliers 2 6 6" xfId="1573"/>
    <cellStyle name="Milliers 2 7" xfId="233"/>
    <cellStyle name="Milliers 2 7 2" xfId="689"/>
    <cellStyle name="Milliers 2 7 2 2" xfId="1103"/>
    <cellStyle name="Milliers 2 7 2 2 2" xfId="1475"/>
    <cellStyle name="Milliers 2 7 2 2 3" xfId="1847"/>
    <cellStyle name="Milliers 2 7 2 3" xfId="1292"/>
    <cellStyle name="Milliers 2 7 2 4" xfId="1664"/>
    <cellStyle name="Milliers 2 7 3" xfId="1027"/>
    <cellStyle name="Milliers 2 7 3 2" xfId="1399"/>
    <cellStyle name="Milliers 2 7 3 3" xfId="1771"/>
    <cellStyle name="Milliers 2 7 4" xfId="1216"/>
    <cellStyle name="Milliers 2 7 5" xfId="1588"/>
    <cellStyle name="Milliers 2 8" xfId="659"/>
    <cellStyle name="Milliers 2 8 2" xfId="1073"/>
    <cellStyle name="Milliers 2 8 2 2" xfId="1445"/>
    <cellStyle name="Milliers 2 8 2 3" xfId="1817"/>
    <cellStyle name="Milliers 2 8 3" xfId="1262"/>
    <cellStyle name="Milliers 2 8 4" xfId="1634"/>
    <cellStyle name="Milliers 2 9" xfId="197"/>
    <cellStyle name="Milliers 2 9 2" xfId="1186"/>
    <cellStyle name="Milliers 2 9 3" xfId="1558"/>
    <cellStyle name="Milliers 3" xfId="75"/>
    <cellStyle name="Milliers 3 10" xfId="998"/>
    <cellStyle name="Milliers 3 10 2" xfId="1370"/>
    <cellStyle name="Milliers 3 10 3" xfId="1742"/>
    <cellStyle name="Milliers 3 11" xfId="1181"/>
    <cellStyle name="Milliers 3 12" xfId="1553"/>
    <cellStyle name="Milliers 3 2" xfId="194"/>
    <cellStyle name="Milliers 3 2 10" xfId="1556"/>
    <cellStyle name="Milliers 3 2 2" xfId="212"/>
    <cellStyle name="Milliers 3 2 2 2" xfId="230"/>
    <cellStyle name="Milliers 3 2 2 2 2" xfId="656"/>
    <cellStyle name="Milliers 3 2 2 2 2 2" xfId="732"/>
    <cellStyle name="Milliers 3 2 2 2 2 2 2" xfId="1146"/>
    <cellStyle name="Milliers 3 2 2 2 2 2 2 2" xfId="1518"/>
    <cellStyle name="Milliers 3 2 2 2 2 2 2 3" xfId="1890"/>
    <cellStyle name="Milliers 3 2 2 2 2 2 3" xfId="1335"/>
    <cellStyle name="Milliers 3 2 2 2 2 2 4" xfId="1707"/>
    <cellStyle name="Milliers 3 2 2 2 2 3" xfId="1070"/>
    <cellStyle name="Milliers 3 2 2 2 2 3 2" xfId="1442"/>
    <cellStyle name="Milliers 3 2 2 2 2 3 3" xfId="1814"/>
    <cellStyle name="Milliers 3 2 2 2 2 4" xfId="1259"/>
    <cellStyle name="Milliers 3 2 2 2 2 5" xfId="1631"/>
    <cellStyle name="Milliers 3 2 2 2 3" xfId="947"/>
    <cellStyle name="Milliers 3 2 2 2 3 2" xfId="1177"/>
    <cellStyle name="Milliers 3 2 2 2 3 2 2" xfId="1549"/>
    <cellStyle name="Milliers 3 2 2 2 3 2 3" xfId="1921"/>
    <cellStyle name="Milliers 3 2 2 2 3 3" xfId="1366"/>
    <cellStyle name="Milliers 3 2 2 2 3 4" xfId="1738"/>
    <cellStyle name="Milliers 3 2 2 2 4" xfId="686"/>
    <cellStyle name="Milliers 3 2 2 2 4 2" xfId="1100"/>
    <cellStyle name="Milliers 3 2 2 2 4 2 2" xfId="1472"/>
    <cellStyle name="Milliers 3 2 2 2 4 2 3" xfId="1844"/>
    <cellStyle name="Milliers 3 2 2 2 4 3" xfId="1289"/>
    <cellStyle name="Milliers 3 2 2 2 4 4" xfId="1661"/>
    <cellStyle name="Milliers 3 2 2 2 5" xfId="1024"/>
    <cellStyle name="Milliers 3 2 2 2 5 2" xfId="1396"/>
    <cellStyle name="Milliers 3 2 2 2 5 3" xfId="1768"/>
    <cellStyle name="Milliers 3 2 2 2 6" xfId="1213"/>
    <cellStyle name="Milliers 3 2 2 2 7" xfId="1585"/>
    <cellStyle name="Milliers 3 2 2 3" xfId="587"/>
    <cellStyle name="Milliers 3 2 2 3 2" xfId="890"/>
    <cellStyle name="Milliers 3 2 2 3 2 2" xfId="1169"/>
    <cellStyle name="Milliers 3 2 2 3 2 2 2" xfId="1541"/>
    <cellStyle name="Milliers 3 2 2 3 2 2 3" xfId="1913"/>
    <cellStyle name="Milliers 3 2 2 3 2 3" xfId="1358"/>
    <cellStyle name="Milliers 3 2 2 3 2 4" xfId="1730"/>
    <cellStyle name="Milliers 3 2 2 4" xfId="644"/>
    <cellStyle name="Milliers 3 2 2 4 2" xfId="720"/>
    <cellStyle name="Milliers 3 2 2 4 2 2" xfId="1134"/>
    <cellStyle name="Milliers 3 2 2 4 2 2 2" xfId="1506"/>
    <cellStyle name="Milliers 3 2 2 4 2 2 3" xfId="1878"/>
    <cellStyle name="Milliers 3 2 2 4 2 3" xfId="1323"/>
    <cellStyle name="Milliers 3 2 2 4 2 4" xfId="1695"/>
    <cellStyle name="Milliers 3 2 2 4 3" xfId="1058"/>
    <cellStyle name="Milliers 3 2 2 4 3 2" xfId="1430"/>
    <cellStyle name="Milliers 3 2 2 4 3 3" xfId="1802"/>
    <cellStyle name="Milliers 3 2 2 4 4" xfId="1247"/>
    <cellStyle name="Milliers 3 2 2 4 5" xfId="1619"/>
    <cellStyle name="Milliers 3 2 2 5" xfId="832"/>
    <cellStyle name="Milliers 3 2 2 5 2" xfId="1161"/>
    <cellStyle name="Milliers 3 2 2 5 2 2" xfId="1533"/>
    <cellStyle name="Milliers 3 2 2 5 2 3" xfId="1905"/>
    <cellStyle name="Milliers 3 2 2 5 3" xfId="1350"/>
    <cellStyle name="Milliers 3 2 2 5 4" xfId="1722"/>
    <cellStyle name="Milliers 3 2 2 6" xfId="671"/>
    <cellStyle name="Milliers 3 2 2 6 2" xfId="1085"/>
    <cellStyle name="Milliers 3 2 2 6 2 2" xfId="1457"/>
    <cellStyle name="Milliers 3 2 2 6 2 3" xfId="1829"/>
    <cellStyle name="Milliers 3 2 2 6 3" xfId="1274"/>
    <cellStyle name="Milliers 3 2 2 6 4" xfId="1646"/>
    <cellStyle name="Milliers 3 2 2 7" xfId="1009"/>
    <cellStyle name="Milliers 3 2 2 7 2" xfId="1381"/>
    <cellStyle name="Milliers 3 2 2 7 3" xfId="1753"/>
    <cellStyle name="Milliers 3 2 2 8" xfId="1198"/>
    <cellStyle name="Milliers 3 2 2 9" xfId="1570"/>
    <cellStyle name="Milliers 3 2 3" xfId="224"/>
    <cellStyle name="Milliers 3 2 3 2" xfId="586"/>
    <cellStyle name="Milliers 3 2 3 2 2" xfId="712"/>
    <cellStyle name="Milliers 3 2 3 2 2 2" xfId="1126"/>
    <cellStyle name="Milliers 3 2 3 2 2 2 2" xfId="1498"/>
    <cellStyle name="Milliers 3 2 3 2 2 2 3" xfId="1870"/>
    <cellStyle name="Milliers 3 2 3 2 2 3" xfId="1315"/>
    <cellStyle name="Milliers 3 2 3 2 2 4" xfId="1687"/>
    <cellStyle name="Milliers 3 2 3 2 3" xfId="1050"/>
    <cellStyle name="Milliers 3 2 3 2 3 2" xfId="1422"/>
    <cellStyle name="Milliers 3 2 3 2 3 3" xfId="1794"/>
    <cellStyle name="Milliers 3 2 3 2 4" xfId="1239"/>
    <cellStyle name="Milliers 3 2 3 2 5" xfId="1611"/>
    <cellStyle name="Milliers 3 2 3 3" xfId="918"/>
    <cellStyle name="Milliers 3 2 3 3 2" xfId="1173"/>
    <cellStyle name="Milliers 3 2 3 3 2 2" xfId="1545"/>
    <cellStyle name="Milliers 3 2 3 3 2 3" xfId="1917"/>
    <cellStyle name="Milliers 3 2 3 3 3" xfId="1362"/>
    <cellStyle name="Milliers 3 2 3 3 4" xfId="1734"/>
    <cellStyle name="Milliers 3 2 3 4" xfId="680"/>
    <cellStyle name="Milliers 3 2 3 4 2" xfId="1094"/>
    <cellStyle name="Milliers 3 2 3 4 2 2" xfId="1466"/>
    <cellStyle name="Milliers 3 2 3 4 2 3" xfId="1838"/>
    <cellStyle name="Milliers 3 2 3 4 3" xfId="1283"/>
    <cellStyle name="Milliers 3 2 3 4 4" xfId="1655"/>
    <cellStyle name="Milliers 3 2 3 5" xfId="1018"/>
    <cellStyle name="Milliers 3 2 3 5 2" xfId="1390"/>
    <cellStyle name="Milliers 3 2 3 5 3" xfId="1762"/>
    <cellStyle name="Milliers 3 2 3 6" xfId="1207"/>
    <cellStyle name="Milliers 3 2 3 7" xfId="1579"/>
    <cellStyle name="Milliers 3 2 4" xfId="274"/>
    <cellStyle name="Milliers 3 2 4 2" xfId="861"/>
    <cellStyle name="Milliers 3 2 4 2 2" xfId="1165"/>
    <cellStyle name="Milliers 3 2 4 2 2 2" xfId="1537"/>
    <cellStyle name="Milliers 3 2 4 2 2 3" xfId="1909"/>
    <cellStyle name="Milliers 3 2 4 2 3" xfId="1354"/>
    <cellStyle name="Milliers 3 2 4 2 4" xfId="1726"/>
    <cellStyle name="Milliers 3 2 5" xfId="799"/>
    <cellStyle name="Milliers 3 2 5 2" xfId="1157"/>
    <cellStyle name="Milliers 3 2 5 2 2" xfId="1529"/>
    <cellStyle name="Milliers 3 2 5 2 3" xfId="1901"/>
    <cellStyle name="Milliers 3 2 5 3" xfId="1346"/>
    <cellStyle name="Milliers 3 2 5 4" xfId="1718"/>
    <cellStyle name="Milliers 3 2 6" xfId="665"/>
    <cellStyle name="Milliers 3 2 6 2" xfId="1079"/>
    <cellStyle name="Milliers 3 2 6 2 2" xfId="1451"/>
    <cellStyle name="Milliers 3 2 6 2 3" xfId="1823"/>
    <cellStyle name="Milliers 3 2 6 3" xfId="1268"/>
    <cellStyle name="Milliers 3 2 6 4" xfId="1640"/>
    <cellStyle name="Milliers 3 2 7" xfId="205"/>
    <cellStyle name="Milliers 3 2 7 2" xfId="1192"/>
    <cellStyle name="Milliers 3 2 7 3" xfId="1564"/>
    <cellStyle name="Milliers 3 2 8" xfId="1003"/>
    <cellStyle name="Milliers 3 2 8 2" xfId="1375"/>
    <cellStyle name="Milliers 3 2 8 3" xfId="1747"/>
    <cellStyle name="Milliers 3 2 9" xfId="1184"/>
    <cellStyle name="Milliers 3 3" xfId="210"/>
    <cellStyle name="Milliers 3 3 2" xfId="228"/>
    <cellStyle name="Milliers 3 3 2 2" xfId="655"/>
    <cellStyle name="Milliers 3 3 2 2 2" xfId="937"/>
    <cellStyle name="Milliers 3 3 2 2 2 2" xfId="1175"/>
    <cellStyle name="Milliers 3 3 2 2 2 2 2" xfId="1547"/>
    <cellStyle name="Milliers 3 3 2 2 2 2 3" xfId="1919"/>
    <cellStyle name="Milliers 3 3 2 2 2 3" xfId="1364"/>
    <cellStyle name="Milliers 3 3 2 2 2 4" xfId="1736"/>
    <cellStyle name="Milliers 3 3 2 2 3" xfId="731"/>
    <cellStyle name="Milliers 3 3 2 2 3 2" xfId="1145"/>
    <cellStyle name="Milliers 3 3 2 2 3 2 2" xfId="1517"/>
    <cellStyle name="Milliers 3 3 2 2 3 2 3" xfId="1889"/>
    <cellStyle name="Milliers 3 3 2 2 3 3" xfId="1334"/>
    <cellStyle name="Milliers 3 3 2 2 3 4" xfId="1706"/>
    <cellStyle name="Milliers 3 3 2 2 4" xfId="1069"/>
    <cellStyle name="Milliers 3 3 2 2 4 2" xfId="1441"/>
    <cellStyle name="Milliers 3 3 2 2 4 3" xfId="1813"/>
    <cellStyle name="Milliers 3 3 2 2 5" xfId="1258"/>
    <cellStyle name="Milliers 3 3 2 2 6" xfId="1630"/>
    <cellStyle name="Milliers 3 3 2 3" xfId="880"/>
    <cellStyle name="Milliers 3 3 2 3 2" xfId="1167"/>
    <cellStyle name="Milliers 3 3 2 3 2 2" xfId="1539"/>
    <cellStyle name="Milliers 3 3 2 3 2 3" xfId="1911"/>
    <cellStyle name="Milliers 3 3 2 3 3" xfId="1356"/>
    <cellStyle name="Milliers 3 3 2 3 4" xfId="1728"/>
    <cellStyle name="Milliers 3 3 2 4" xfId="822"/>
    <cellStyle name="Milliers 3 3 2 4 2" xfId="1159"/>
    <cellStyle name="Milliers 3 3 2 4 2 2" xfId="1531"/>
    <cellStyle name="Milliers 3 3 2 4 2 3" xfId="1903"/>
    <cellStyle name="Milliers 3 3 2 4 3" xfId="1348"/>
    <cellStyle name="Milliers 3 3 2 4 4" xfId="1720"/>
    <cellStyle name="Milliers 3 3 2 5" xfId="684"/>
    <cellStyle name="Milliers 3 3 2 5 2" xfId="1098"/>
    <cellStyle name="Milliers 3 3 2 5 2 2" xfId="1470"/>
    <cellStyle name="Milliers 3 3 2 5 2 3" xfId="1842"/>
    <cellStyle name="Milliers 3 3 2 5 3" xfId="1287"/>
    <cellStyle name="Milliers 3 3 2 5 4" xfId="1659"/>
    <cellStyle name="Milliers 3 3 2 6" xfId="1022"/>
    <cellStyle name="Milliers 3 3 2 6 2" xfId="1394"/>
    <cellStyle name="Milliers 3 3 2 6 3" xfId="1766"/>
    <cellStyle name="Milliers 3 3 2 7" xfId="1211"/>
    <cellStyle name="Milliers 3 3 2 8" xfId="1583"/>
    <cellStyle name="Milliers 3 3 3" xfId="522"/>
    <cellStyle name="Milliers 3 3 3 2" xfId="908"/>
    <cellStyle name="Milliers 3 3 3 2 2" xfId="1171"/>
    <cellStyle name="Milliers 3 3 3 2 2 2" xfId="1543"/>
    <cellStyle name="Milliers 3 3 3 2 2 3" xfId="1915"/>
    <cellStyle name="Milliers 3 3 3 2 3" xfId="1360"/>
    <cellStyle name="Milliers 3 3 3 2 4" xfId="1732"/>
    <cellStyle name="Milliers 3 3 3 3" xfId="700"/>
    <cellStyle name="Milliers 3 3 3 3 2" xfId="1114"/>
    <cellStyle name="Milliers 3 3 3 3 2 2" xfId="1486"/>
    <cellStyle name="Milliers 3 3 3 3 2 3" xfId="1858"/>
    <cellStyle name="Milliers 3 3 3 3 3" xfId="1303"/>
    <cellStyle name="Milliers 3 3 3 3 4" xfId="1675"/>
    <cellStyle name="Milliers 3 3 3 4" xfId="1038"/>
    <cellStyle name="Milliers 3 3 3 4 2" xfId="1410"/>
    <cellStyle name="Milliers 3 3 3 4 3" xfId="1782"/>
    <cellStyle name="Milliers 3 3 3 5" xfId="1227"/>
    <cellStyle name="Milliers 3 3 3 6" xfId="1599"/>
    <cellStyle name="Milliers 3 3 4" xfId="851"/>
    <cellStyle name="Milliers 3 3 4 2" xfId="1163"/>
    <cellStyle name="Milliers 3 3 4 2 2" xfId="1535"/>
    <cellStyle name="Milliers 3 3 4 2 3" xfId="1907"/>
    <cellStyle name="Milliers 3 3 4 3" xfId="1352"/>
    <cellStyle name="Milliers 3 3 4 4" xfId="1724"/>
    <cellStyle name="Milliers 3 3 5" xfId="788"/>
    <cellStyle name="Milliers 3 3 5 2" xfId="1155"/>
    <cellStyle name="Milliers 3 3 5 2 2" xfId="1527"/>
    <cellStyle name="Milliers 3 3 5 2 3" xfId="1899"/>
    <cellStyle name="Milliers 3 3 5 3" xfId="1344"/>
    <cellStyle name="Milliers 3 3 5 4" xfId="1716"/>
    <cellStyle name="Milliers 3 3 6" xfId="669"/>
    <cellStyle name="Milliers 3 3 6 2" xfId="1083"/>
    <cellStyle name="Milliers 3 3 6 2 2" xfId="1455"/>
    <cellStyle name="Milliers 3 3 6 2 3" xfId="1827"/>
    <cellStyle name="Milliers 3 3 6 3" xfId="1272"/>
    <cellStyle name="Milliers 3 3 6 4" xfId="1644"/>
    <cellStyle name="Milliers 3 3 7" xfId="1007"/>
    <cellStyle name="Milliers 3 3 7 2" xfId="1379"/>
    <cellStyle name="Milliers 3 3 7 3" xfId="1751"/>
    <cellStyle name="Milliers 3 3 8" xfId="1196"/>
    <cellStyle name="Milliers 3 3 9" xfId="1568"/>
    <cellStyle name="Milliers 3 4" xfId="201"/>
    <cellStyle name="Milliers 3 4 2" xfId="222"/>
    <cellStyle name="Milliers 3 4 2 2" xfId="651"/>
    <cellStyle name="Milliers 3 4 2 2 2" xfId="930"/>
    <cellStyle name="Milliers 3 4 2 2 2 2" xfId="1174"/>
    <cellStyle name="Milliers 3 4 2 2 2 2 2" xfId="1546"/>
    <cellStyle name="Milliers 3 4 2 2 2 2 3" xfId="1918"/>
    <cellStyle name="Milliers 3 4 2 2 2 3" xfId="1363"/>
    <cellStyle name="Milliers 3 4 2 2 2 4" xfId="1735"/>
    <cellStyle name="Milliers 3 4 2 2 3" xfId="727"/>
    <cellStyle name="Milliers 3 4 2 2 3 2" xfId="1141"/>
    <cellStyle name="Milliers 3 4 2 2 3 2 2" xfId="1513"/>
    <cellStyle name="Milliers 3 4 2 2 3 2 3" xfId="1885"/>
    <cellStyle name="Milliers 3 4 2 2 3 3" xfId="1330"/>
    <cellStyle name="Milliers 3 4 2 2 3 4" xfId="1702"/>
    <cellStyle name="Milliers 3 4 2 2 4" xfId="1065"/>
    <cellStyle name="Milliers 3 4 2 2 4 2" xfId="1437"/>
    <cellStyle name="Milliers 3 4 2 2 4 3" xfId="1809"/>
    <cellStyle name="Milliers 3 4 2 2 5" xfId="1254"/>
    <cellStyle name="Milliers 3 4 2 2 6" xfId="1626"/>
    <cellStyle name="Milliers 3 4 2 3" xfId="873"/>
    <cellStyle name="Milliers 3 4 2 3 2" xfId="1166"/>
    <cellStyle name="Milliers 3 4 2 3 2 2" xfId="1538"/>
    <cellStyle name="Milliers 3 4 2 3 2 3" xfId="1910"/>
    <cellStyle name="Milliers 3 4 2 3 3" xfId="1355"/>
    <cellStyle name="Milliers 3 4 2 3 4" xfId="1727"/>
    <cellStyle name="Milliers 3 4 2 4" xfId="815"/>
    <cellStyle name="Milliers 3 4 2 4 2" xfId="1158"/>
    <cellStyle name="Milliers 3 4 2 4 2 2" xfId="1530"/>
    <cellStyle name="Milliers 3 4 2 4 2 3" xfId="1902"/>
    <cellStyle name="Milliers 3 4 2 4 3" xfId="1347"/>
    <cellStyle name="Milliers 3 4 2 4 4" xfId="1719"/>
    <cellStyle name="Milliers 3 4 2 5" xfId="678"/>
    <cellStyle name="Milliers 3 4 2 5 2" xfId="1092"/>
    <cellStyle name="Milliers 3 4 2 5 2 2" xfId="1464"/>
    <cellStyle name="Milliers 3 4 2 5 2 3" xfId="1836"/>
    <cellStyle name="Milliers 3 4 2 5 3" xfId="1281"/>
    <cellStyle name="Milliers 3 4 2 5 4" xfId="1653"/>
    <cellStyle name="Milliers 3 4 2 6" xfId="1016"/>
    <cellStyle name="Milliers 3 4 2 6 2" xfId="1388"/>
    <cellStyle name="Milliers 3 4 2 6 3" xfId="1760"/>
    <cellStyle name="Milliers 3 4 2 7" xfId="1205"/>
    <cellStyle name="Milliers 3 4 2 8" xfId="1577"/>
    <cellStyle name="Milliers 3 4 3" xfId="642"/>
    <cellStyle name="Milliers 3 4 3 2" xfId="901"/>
    <cellStyle name="Milliers 3 4 3 2 2" xfId="1170"/>
    <cellStyle name="Milliers 3 4 3 2 2 2" xfId="1542"/>
    <cellStyle name="Milliers 3 4 3 2 2 3" xfId="1914"/>
    <cellStyle name="Milliers 3 4 3 2 3" xfId="1359"/>
    <cellStyle name="Milliers 3 4 3 2 4" xfId="1731"/>
    <cellStyle name="Milliers 3 4 3 3" xfId="718"/>
    <cellStyle name="Milliers 3 4 3 3 2" xfId="1132"/>
    <cellStyle name="Milliers 3 4 3 3 2 2" xfId="1504"/>
    <cellStyle name="Milliers 3 4 3 3 2 3" xfId="1876"/>
    <cellStyle name="Milliers 3 4 3 3 3" xfId="1321"/>
    <cellStyle name="Milliers 3 4 3 3 4" xfId="1693"/>
    <cellStyle name="Milliers 3 4 3 4" xfId="1056"/>
    <cellStyle name="Milliers 3 4 3 4 2" xfId="1428"/>
    <cellStyle name="Milliers 3 4 3 4 3" xfId="1800"/>
    <cellStyle name="Milliers 3 4 3 5" xfId="1245"/>
    <cellStyle name="Milliers 3 4 3 6" xfId="1617"/>
    <cellStyle name="Milliers 3 4 4" xfId="844"/>
    <cellStyle name="Milliers 3 4 4 2" xfId="1162"/>
    <cellStyle name="Milliers 3 4 4 2 2" xfId="1534"/>
    <cellStyle name="Milliers 3 4 4 2 3" xfId="1906"/>
    <cellStyle name="Milliers 3 4 4 3" xfId="1351"/>
    <cellStyle name="Milliers 3 4 4 4" xfId="1723"/>
    <cellStyle name="Milliers 3 4 5" xfId="776"/>
    <cellStyle name="Milliers 3 4 5 2" xfId="1153"/>
    <cellStyle name="Milliers 3 4 5 2 2" xfId="1525"/>
    <cellStyle name="Milliers 3 4 5 2 3" xfId="1897"/>
    <cellStyle name="Milliers 3 4 5 3" xfId="1342"/>
    <cellStyle name="Milliers 3 4 5 4" xfId="1714"/>
    <cellStyle name="Milliers 3 4 6" xfId="663"/>
    <cellStyle name="Milliers 3 4 6 2" xfId="1077"/>
    <cellStyle name="Milliers 3 4 6 2 2" xfId="1449"/>
    <cellStyle name="Milliers 3 4 6 2 3" xfId="1821"/>
    <cellStyle name="Milliers 3 4 6 3" xfId="1266"/>
    <cellStyle name="Milliers 3 4 6 4" xfId="1638"/>
    <cellStyle name="Milliers 3 4 7" xfId="1001"/>
    <cellStyle name="Milliers 3 4 7 2" xfId="1373"/>
    <cellStyle name="Milliers 3 4 7 3" xfId="1745"/>
    <cellStyle name="Milliers 3 4 8" xfId="1190"/>
    <cellStyle name="Milliers 3 4 9" xfId="1562"/>
    <cellStyle name="Milliers 3 5" xfId="219"/>
    <cellStyle name="Milliers 3 5 2" xfId="648"/>
    <cellStyle name="Milliers 3 5 2 2" xfId="724"/>
    <cellStyle name="Milliers 3 5 2 2 2" xfId="1138"/>
    <cellStyle name="Milliers 3 5 2 2 2 2" xfId="1510"/>
    <cellStyle name="Milliers 3 5 2 2 2 3" xfId="1882"/>
    <cellStyle name="Milliers 3 5 2 2 3" xfId="1327"/>
    <cellStyle name="Milliers 3 5 2 2 4" xfId="1699"/>
    <cellStyle name="Milliers 3 5 2 3" xfId="1062"/>
    <cellStyle name="Milliers 3 5 2 3 2" xfId="1434"/>
    <cellStyle name="Milliers 3 5 2 3 3" xfId="1806"/>
    <cellStyle name="Milliers 3 5 2 4" xfId="1251"/>
    <cellStyle name="Milliers 3 5 2 5" xfId="1623"/>
    <cellStyle name="Milliers 3 5 3" xfId="766"/>
    <cellStyle name="Milliers 3 5 3 2" xfId="1152"/>
    <cellStyle name="Milliers 3 5 3 2 2" xfId="1524"/>
    <cellStyle name="Milliers 3 5 3 2 3" xfId="1896"/>
    <cellStyle name="Milliers 3 5 3 3" xfId="1341"/>
    <cellStyle name="Milliers 3 5 3 4" xfId="1713"/>
    <cellStyle name="Milliers 3 5 4" xfId="675"/>
    <cellStyle name="Milliers 3 5 4 2" xfId="1089"/>
    <cellStyle name="Milliers 3 5 4 2 2" xfId="1461"/>
    <cellStyle name="Milliers 3 5 4 2 3" xfId="1833"/>
    <cellStyle name="Milliers 3 5 4 3" xfId="1278"/>
    <cellStyle name="Milliers 3 5 4 4" xfId="1650"/>
    <cellStyle name="Milliers 3 5 5" xfId="1013"/>
    <cellStyle name="Milliers 3 5 5 2" xfId="1385"/>
    <cellStyle name="Milliers 3 5 5 3" xfId="1757"/>
    <cellStyle name="Milliers 3 5 6" xfId="1202"/>
    <cellStyle name="Milliers 3 5 7" xfId="1574"/>
    <cellStyle name="Milliers 3 6" xfId="234"/>
    <cellStyle name="Milliers 3 6 2" xfId="690"/>
    <cellStyle name="Milliers 3 6 2 2" xfId="1104"/>
    <cellStyle name="Milliers 3 6 2 2 2" xfId="1476"/>
    <cellStyle name="Milliers 3 6 2 2 3" xfId="1848"/>
    <cellStyle name="Milliers 3 6 2 3" xfId="1293"/>
    <cellStyle name="Milliers 3 6 2 4" xfId="1665"/>
    <cellStyle name="Milliers 3 6 3" xfId="1028"/>
    <cellStyle name="Milliers 3 6 3 2" xfId="1400"/>
    <cellStyle name="Milliers 3 6 3 3" xfId="1772"/>
    <cellStyle name="Milliers 3 6 4" xfId="1217"/>
    <cellStyle name="Milliers 3 6 5" xfId="1589"/>
    <cellStyle name="Milliers 3 7" xfId="750"/>
    <cellStyle name="Milliers 3 7 2" xfId="1149"/>
    <cellStyle name="Milliers 3 7 2 2" xfId="1521"/>
    <cellStyle name="Milliers 3 7 2 3" xfId="1893"/>
    <cellStyle name="Milliers 3 7 3" xfId="1338"/>
    <cellStyle name="Milliers 3 7 4" xfId="1710"/>
    <cellStyle name="Milliers 3 8" xfId="660"/>
    <cellStyle name="Milliers 3 8 2" xfId="1074"/>
    <cellStyle name="Milliers 3 8 2 2" xfId="1446"/>
    <cellStyle name="Milliers 3 8 2 3" xfId="1818"/>
    <cellStyle name="Milliers 3 8 3" xfId="1263"/>
    <cellStyle name="Milliers 3 8 4" xfId="1635"/>
    <cellStyle name="Milliers 3 9" xfId="198"/>
    <cellStyle name="Milliers 3 9 2" xfId="1187"/>
    <cellStyle name="Milliers 3 9 3" xfId="1559"/>
    <cellStyle name="Milliers 4" xfId="93"/>
    <cellStyle name="Milliers 4 2" xfId="275"/>
    <cellStyle name="Milliers 4 2 2" xfId="529"/>
    <cellStyle name="Milliers 4 2 2 2" xfId="942"/>
    <cellStyle name="Milliers 4 2 2 2 2" xfId="1176"/>
    <cellStyle name="Milliers 4 2 2 2 2 2" xfId="1548"/>
    <cellStyle name="Milliers 4 2 2 2 2 3" xfId="1920"/>
    <cellStyle name="Milliers 4 2 2 2 3" xfId="1365"/>
    <cellStyle name="Milliers 4 2 2 2 4" xfId="1737"/>
    <cellStyle name="Milliers 4 2 2 3" xfId="705"/>
    <cellStyle name="Milliers 4 2 2 3 2" xfId="1119"/>
    <cellStyle name="Milliers 4 2 2 3 2 2" xfId="1491"/>
    <cellStyle name="Milliers 4 2 2 3 2 3" xfId="1863"/>
    <cellStyle name="Milliers 4 2 2 3 3" xfId="1308"/>
    <cellStyle name="Milliers 4 2 2 3 4" xfId="1680"/>
    <cellStyle name="Milliers 4 2 2 4" xfId="1043"/>
    <cellStyle name="Milliers 4 2 2 4 2" xfId="1415"/>
    <cellStyle name="Milliers 4 2 2 4 3" xfId="1787"/>
    <cellStyle name="Milliers 4 2 2 5" xfId="1232"/>
    <cellStyle name="Milliers 4 2 2 6" xfId="1604"/>
    <cellStyle name="Milliers 4 2 3" xfId="589"/>
    <cellStyle name="Milliers 4 2 3 2" xfId="885"/>
    <cellStyle name="Milliers 4 2 3 2 2" xfId="1168"/>
    <cellStyle name="Milliers 4 2 3 2 2 2" xfId="1540"/>
    <cellStyle name="Milliers 4 2 3 2 2 3" xfId="1912"/>
    <cellStyle name="Milliers 4 2 3 2 3" xfId="1357"/>
    <cellStyle name="Milliers 4 2 3 2 4" xfId="1729"/>
    <cellStyle name="Milliers 4 2 3 3" xfId="714"/>
    <cellStyle name="Milliers 4 2 3 3 2" xfId="1128"/>
    <cellStyle name="Milliers 4 2 3 3 2 2" xfId="1500"/>
    <cellStyle name="Milliers 4 2 3 3 2 3" xfId="1872"/>
    <cellStyle name="Milliers 4 2 3 3 3" xfId="1317"/>
    <cellStyle name="Milliers 4 2 3 3 4" xfId="1689"/>
    <cellStyle name="Milliers 4 2 3 4" xfId="1052"/>
    <cellStyle name="Milliers 4 2 3 4 2" xfId="1424"/>
    <cellStyle name="Milliers 4 2 3 4 3" xfId="1796"/>
    <cellStyle name="Milliers 4 2 3 5" xfId="1241"/>
    <cellStyle name="Milliers 4 2 3 6" xfId="1613"/>
    <cellStyle name="Milliers 4 2 4" xfId="827"/>
    <cellStyle name="Milliers 4 2 4 2" xfId="1160"/>
    <cellStyle name="Milliers 4 2 4 2 2" xfId="1532"/>
    <cellStyle name="Milliers 4 2 4 2 3" xfId="1904"/>
    <cellStyle name="Milliers 4 2 4 3" xfId="1349"/>
    <cellStyle name="Milliers 4 2 4 4" xfId="1721"/>
    <cellStyle name="Milliers 4 2 5" xfId="695"/>
    <cellStyle name="Milliers 4 2 5 2" xfId="1109"/>
    <cellStyle name="Milliers 4 2 5 2 2" xfId="1481"/>
    <cellStyle name="Milliers 4 2 5 2 3" xfId="1853"/>
    <cellStyle name="Milliers 4 2 5 3" xfId="1298"/>
    <cellStyle name="Milliers 4 2 5 4" xfId="1670"/>
    <cellStyle name="Milliers 4 2 6" xfId="1033"/>
    <cellStyle name="Milliers 4 2 6 2" xfId="1405"/>
    <cellStyle name="Milliers 4 2 6 3" xfId="1777"/>
    <cellStyle name="Milliers 4 2 7" xfId="1222"/>
    <cellStyle name="Milliers 4 2 8" xfId="1594"/>
    <cellStyle name="Milliers 4 3" xfId="590"/>
    <cellStyle name="Milliers 4 3 2" xfId="591"/>
    <cellStyle name="Milliers 4 3 2 2" xfId="715"/>
    <cellStyle name="Milliers 4 3 2 2 2" xfId="1129"/>
    <cellStyle name="Milliers 4 3 2 2 2 2" xfId="1501"/>
    <cellStyle name="Milliers 4 3 2 2 2 3" xfId="1873"/>
    <cellStyle name="Milliers 4 3 2 2 3" xfId="1318"/>
    <cellStyle name="Milliers 4 3 2 2 4" xfId="1690"/>
    <cellStyle name="Milliers 4 3 2 3" xfId="1053"/>
    <cellStyle name="Milliers 4 3 2 3 2" xfId="1425"/>
    <cellStyle name="Milliers 4 3 2 3 3" xfId="1797"/>
    <cellStyle name="Milliers 4 3 2 4" xfId="1242"/>
    <cellStyle name="Milliers 4 3 2 5" xfId="1614"/>
    <cellStyle name="Milliers 4 3 3" xfId="913"/>
    <cellStyle name="Milliers 4 3 3 2" xfId="1172"/>
    <cellStyle name="Milliers 4 3 3 2 2" xfId="1544"/>
    <cellStyle name="Milliers 4 3 3 2 3" xfId="1916"/>
    <cellStyle name="Milliers 4 3 3 3" xfId="1361"/>
    <cellStyle name="Milliers 4 3 3 4" xfId="1733"/>
    <cellStyle name="Milliers 4 4" xfId="588"/>
    <cellStyle name="Milliers 4 4 2" xfId="856"/>
    <cellStyle name="Milliers 4 4 2 2" xfId="1164"/>
    <cellStyle name="Milliers 4 4 2 2 2" xfId="1536"/>
    <cellStyle name="Milliers 4 4 2 2 3" xfId="1908"/>
    <cellStyle name="Milliers 4 4 2 3" xfId="1353"/>
    <cellStyle name="Milliers 4 4 2 4" xfId="1725"/>
    <cellStyle name="Milliers 4 4 3" xfId="713"/>
    <cellStyle name="Milliers 4 4 3 2" xfId="1127"/>
    <cellStyle name="Milliers 4 4 3 2 2" xfId="1499"/>
    <cellStyle name="Milliers 4 4 3 2 3" xfId="1871"/>
    <cellStyle name="Milliers 4 4 3 3" xfId="1316"/>
    <cellStyle name="Milliers 4 4 3 4" xfId="1688"/>
    <cellStyle name="Milliers 4 4 4" xfId="1051"/>
    <cellStyle name="Milliers 4 4 4 2" xfId="1423"/>
    <cellStyle name="Milliers 4 4 4 3" xfId="1795"/>
    <cellStyle name="Milliers 4 4 5" xfId="1240"/>
    <cellStyle name="Milliers 4 4 6" xfId="1612"/>
    <cellStyle name="Milliers 4 5" xfId="794"/>
    <cellStyle name="Milliers 4 5 2" xfId="1156"/>
    <cellStyle name="Milliers 4 5 2 2" xfId="1528"/>
    <cellStyle name="Milliers 4 5 2 3" xfId="1900"/>
    <cellStyle name="Milliers 4 5 3" xfId="1345"/>
    <cellStyle name="Milliers 4 5 4" xfId="1717"/>
    <cellStyle name="Milliers 5" xfId="192"/>
    <cellStyle name="Milliers 5 10" xfId="1554"/>
    <cellStyle name="Milliers 5 2" xfId="226"/>
    <cellStyle name="Milliers 5 2 2" xfId="525"/>
    <cellStyle name="Milliers 5 2 3" xfId="654"/>
    <cellStyle name="Milliers 5 2 3 2" xfId="730"/>
    <cellStyle name="Milliers 5 2 3 2 2" xfId="1144"/>
    <cellStyle name="Milliers 5 2 3 2 2 2" xfId="1516"/>
    <cellStyle name="Milliers 5 2 3 2 2 3" xfId="1888"/>
    <cellStyle name="Milliers 5 2 3 2 3" xfId="1333"/>
    <cellStyle name="Milliers 5 2 3 2 4" xfId="1705"/>
    <cellStyle name="Milliers 5 2 3 3" xfId="1068"/>
    <cellStyle name="Milliers 5 2 3 3 2" xfId="1440"/>
    <cellStyle name="Milliers 5 2 3 3 3" xfId="1812"/>
    <cellStyle name="Milliers 5 2 3 4" xfId="1257"/>
    <cellStyle name="Milliers 5 2 3 5" xfId="1629"/>
    <cellStyle name="Milliers 5 2 4" xfId="682"/>
    <cellStyle name="Milliers 5 2 4 2" xfId="1096"/>
    <cellStyle name="Milliers 5 2 4 2 2" xfId="1468"/>
    <cellStyle name="Milliers 5 2 4 2 3" xfId="1840"/>
    <cellStyle name="Milliers 5 2 4 3" xfId="1285"/>
    <cellStyle name="Milliers 5 2 4 4" xfId="1657"/>
    <cellStyle name="Milliers 5 2 5" xfId="1020"/>
    <cellStyle name="Milliers 5 2 5 2" xfId="1392"/>
    <cellStyle name="Milliers 5 2 5 3" xfId="1764"/>
    <cellStyle name="Milliers 5 2 6" xfId="1209"/>
    <cellStyle name="Milliers 5 2 7" xfId="1581"/>
    <cellStyle name="Milliers 5 3" xfId="592"/>
    <cellStyle name="Milliers 5 3 2" xfId="716"/>
    <cellStyle name="Milliers 5 3 2 2" xfId="1130"/>
    <cellStyle name="Milliers 5 3 2 2 2" xfId="1502"/>
    <cellStyle name="Milliers 5 3 2 2 3" xfId="1874"/>
    <cellStyle name="Milliers 5 3 2 3" xfId="1319"/>
    <cellStyle name="Milliers 5 3 2 4" xfId="1691"/>
    <cellStyle name="Milliers 5 3 3" xfId="1054"/>
    <cellStyle name="Milliers 5 3 3 2" xfId="1426"/>
    <cellStyle name="Milliers 5 3 3 3" xfId="1798"/>
    <cellStyle name="Milliers 5 3 4" xfId="1243"/>
    <cellStyle name="Milliers 5 3 5" xfId="1615"/>
    <cellStyle name="Milliers 5 4" xfId="270"/>
    <cellStyle name="Milliers 5 5" xfId="759"/>
    <cellStyle name="Milliers 5 5 2" xfId="1151"/>
    <cellStyle name="Milliers 5 5 2 2" xfId="1523"/>
    <cellStyle name="Milliers 5 5 2 3" xfId="1895"/>
    <cellStyle name="Milliers 5 5 3" xfId="1340"/>
    <cellStyle name="Milliers 5 5 4" xfId="1712"/>
    <cellStyle name="Milliers 5 6" xfId="667"/>
    <cellStyle name="Milliers 5 6 2" xfId="1081"/>
    <cellStyle name="Milliers 5 6 2 2" xfId="1453"/>
    <cellStyle name="Milliers 5 6 2 3" xfId="1825"/>
    <cellStyle name="Milliers 5 6 3" xfId="1270"/>
    <cellStyle name="Milliers 5 6 4" xfId="1642"/>
    <cellStyle name="Milliers 5 7" xfId="208"/>
    <cellStyle name="Milliers 5 7 2" xfId="1194"/>
    <cellStyle name="Milliers 5 7 3" xfId="1566"/>
    <cellStyle name="Milliers 5 8" xfId="1005"/>
    <cellStyle name="Milliers 5 8 2" xfId="1377"/>
    <cellStyle name="Milliers 5 8 3" xfId="1749"/>
    <cellStyle name="Milliers 5 9" xfId="1182"/>
    <cellStyle name="Milliers 6" xfId="199"/>
    <cellStyle name="Milliers 6 2" xfId="220"/>
    <cellStyle name="Milliers 6 2 2" xfId="649"/>
    <cellStyle name="Milliers 6 2 2 2" xfId="725"/>
    <cellStyle name="Milliers 6 2 2 2 2" xfId="1139"/>
    <cellStyle name="Milliers 6 2 2 2 2 2" xfId="1511"/>
    <cellStyle name="Milliers 6 2 2 2 2 3" xfId="1883"/>
    <cellStyle name="Milliers 6 2 2 2 3" xfId="1328"/>
    <cellStyle name="Milliers 6 2 2 2 4" xfId="1700"/>
    <cellStyle name="Milliers 6 2 2 3" xfId="1063"/>
    <cellStyle name="Milliers 6 2 2 3 2" xfId="1435"/>
    <cellStyle name="Milliers 6 2 2 3 3" xfId="1807"/>
    <cellStyle name="Milliers 6 2 2 4" xfId="1252"/>
    <cellStyle name="Milliers 6 2 2 5" xfId="1624"/>
    <cellStyle name="Milliers 6 2 3" xfId="676"/>
    <cellStyle name="Milliers 6 2 3 2" xfId="1090"/>
    <cellStyle name="Milliers 6 2 3 2 2" xfId="1462"/>
    <cellStyle name="Milliers 6 2 3 2 3" xfId="1834"/>
    <cellStyle name="Milliers 6 2 3 3" xfId="1279"/>
    <cellStyle name="Milliers 6 2 3 4" xfId="1651"/>
    <cellStyle name="Milliers 6 2 4" xfId="1014"/>
    <cellStyle name="Milliers 6 2 4 2" xfId="1386"/>
    <cellStyle name="Milliers 6 2 4 3" xfId="1758"/>
    <cellStyle name="Milliers 6 2 5" xfId="1203"/>
    <cellStyle name="Milliers 6 2 6" xfId="1575"/>
    <cellStyle name="Milliers 6 3" xfId="520"/>
    <cellStyle name="Milliers 6 3 2" xfId="698"/>
    <cellStyle name="Milliers 6 3 2 2" xfId="1112"/>
    <cellStyle name="Milliers 6 3 2 2 2" xfId="1484"/>
    <cellStyle name="Milliers 6 3 2 2 3" xfId="1856"/>
    <cellStyle name="Milliers 6 3 2 3" xfId="1301"/>
    <cellStyle name="Milliers 6 3 2 4" xfId="1673"/>
    <cellStyle name="Milliers 6 3 3" xfId="1036"/>
    <cellStyle name="Milliers 6 3 3 2" xfId="1408"/>
    <cellStyle name="Milliers 6 3 3 3" xfId="1780"/>
    <cellStyle name="Milliers 6 3 4" xfId="1225"/>
    <cellStyle name="Milliers 6 3 5" xfId="1597"/>
    <cellStyle name="Milliers 6 4" xfId="951"/>
    <cellStyle name="Milliers 6 4 2" xfId="1178"/>
    <cellStyle name="Milliers 6 4 2 2" xfId="1550"/>
    <cellStyle name="Milliers 6 4 2 3" xfId="1922"/>
    <cellStyle name="Milliers 6 4 3" xfId="1367"/>
    <cellStyle name="Milliers 6 4 4" xfId="1739"/>
    <cellStyle name="Milliers 6 5" xfId="661"/>
    <cellStyle name="Milliers 6 5 2" xfId="1075"/>
    <cellStyle name="Milliers 6 5 2 2" xfId="1447"/>
    <cellStyle name="Milliers 6 5 2 3" xfId="1819"/>
    <cellStyle name="Milliers 6 5 3" xfId="1264"/>
    <cellStyle name="Milliers 6 5 4" xfId="1636"/>
    <cellStyle name="Milliers 6 6" xfId="999"/>
    <cellStyle name="Milliers 6 6 2" xfId="1371"/>
    <cellStyle name="Milliers 6 6 3" xfId="1743"/>
    <cellStyle name="Milliers 6 7" xfId="1188"/>
    <cellStyle name="Milliers 6 8" xfId="1560"/>
    <cellStyle name="Milliers 7" xfId="217"/>
    <cellStyle name="Milliers 7 2" xfId="593"/>
    <cellStyle name="Milliers 7 2 2" xfId="717"/>
    <cellStyle name="Milliers 7 2 2 2" xfId="1131"/>
    <cellStyle name="Milliers 7 2 2 2 2" xfId="1503"/>
    <cellStyle name="Milliers 7 2 2 2 3" xfId="1875"/>
    <cellStyle name="Milliers 7 2 2 3" xfId="1320"/>
    <cellStyle name="Milliers 7 2 2 4" xfId="1692"/>
    <cellStyle name="Milliers 7 2 3" xfId="1055"/>
    <cellStyle name="Milliers 7 2 3 2" xfId="1427"/>
    <cellStyle name="Milliers 7 2 3 3" xfId="1799"/>
    <cellStyle name="Milliers 7 2 4" xfId="1244"/>
    <cellStyle name="Milliers 7 2 5" xfId="1616"/>
    <cellStyle name="Milliers 7 3" xfId="646"/>
    <cellStyle name="Milliers 7 3 2" xfId="722"/>
    <cellStyle name="Milliers 7 3 2 2" xfId="1136"/>
    <cellStyle name="Milliers 7 3 2 2 2" xfId="1508"/>
    <cellStyle name="Milliers 7 3 2 2 3" xfId="1880"/>
    <cellStyle name="Milliers 7 3 2 3" xfId="1325"/>
    <cellStyle name="Milliers 7 3 2 4" xfId="1697"/>
    <cellStyle name="Milliers 7 3 3" xfId="1060"/>
    <cellStyle name="Milliers 7 3 3 2" xfId="1432"/>
    <cellStyle name="Milliers 7 3 3 3" xfId="1804"/>
    <cellStyle name="Milliers 7 3 4" xfId="1249"/>
    <cellStyle name="Milliers 7 3 5" xfId="1621"/>
    <cellStyle name="Milliers 7 4" xfId="673"/>
    <cellStyle name="Milliers 7 4 2" xfId="1087"/>
    <cellStyle name="Milliers 7 4 2 2" xfId="1459"/>
    <cellStyle name="Milliers 7 4 2 3" xfId="1831"/>
    <cellStyle name="Milliers 7 4 3" xfId="1276"/>
    <cellStyle name="Milliers 7 4 4" xfId="1648"/>
    <cellStyle name="Milliers 7 5" xfId="1011"/>
    <cellStyle name="Milliers 7 5 2" xfId="1383"/>
    <cellStyle name="Milliers 7 5 3" xfId="1755"/>
    <cellStyle name="Milliers 7 6" xfId="1200"/>
    <cellStyle name="Milliers 7 7" xfId="1572"/>
    <cellStyle name="Milliers 8" xfId="232"/>
    <cellStyle name="Milliers 8 2" xfId="688"/>
    <cellStyle name="Milliers 8 2 2" xfId="1102"/>
    <cellStyle name="Milliers 8 2 2 2" xfId="1474"/>
    <cellStyle name="Milliers 8 2 2 3" xfId="1846"/>
    <cellStyle name="Milliers 8 2 3" xfId="1291"/>
    <cellStyle name="Milliers 8 2 4" xfId="1663"/>
    <cellStyle name="Milliers 8 3" xfId="1026"/>
    <cellStyle name="Milliers 8 3 2" xfId="1398"/>
    <cellStyle name="Milliers 8 3 3" xfId="1770"/>
    <cellStyle name="Milliers 8 4" xfId="1215"/>
    <cellStyle name="Milliers 8 5" xfId="1587"/>
    <cellStyle name="Milliers 9" xfId="734"/>
    <cellStyle name="Milliers 9 2" xfId="1148"/>
    <cellStyle name="Milliers 9 2 2" xfId="1520"/>
    <cellStyle name="Milliers 9 2 3" xfId="1892"/>
    <cellStyle name="Milliers 9 3" xfId="1337"/>
    <cellStyle name="Milliers 9 4" xfId="1709"/>
    <cellStyle name="moyenne" xfId="18"/>
    <cellStyle name="moyenne 2" xfId="113"/>
    <cellStyle name="moyenne 2 2" xfId="156"/>
    <cellStyle name="moyenne 3" xfId="157"/>
    <cellStyle name="moyenne 3 2" xfId="158"/>
    <cellStyle name="Moyenne 4" xfId="276"/>
    <cellStyle name="Moyenne 5" xfId="277"/>
    <cellStyle name="Neutre 2" xfId="961"/>
    <cellStyle name="Normal" xfId="0" builtinId="0"/>
    <cellStyle name="Normal 10" xfId="159"/>
    <cellStyle name="Normal 10 2" xfId="278"/>
    <cellStyle name="Normal 10 2 2" xfId="595"/>
    <cellStyle name="Normal 10 2 3" xfId="594"/>
    <cellStyle name="Normal 10 3" xfId="534"/>
    <cellStyle name="Normal 11" xfId="235"/>
    <cellStyle name="Normal 11 2" xfId="533"/>
    <cellStyle name="Normal 11 3" xfId="523"/>
    <cellStyle name="Normal 12" xfId="596"/>
    <cellStyle name="Normal 12 2" xfId="597"/>
    <cellStyle name="Normal 13" xfId="598"/>
    <cellStyle name="Normal 13 2" xfId="539"/>
    <cellStyle name="Normal 14" xfId="599"/>
    <cellStyle name="Normal 15" xfId="600"/>
    <cellStyle name="Normal 2" xfId="2"/>
    <cellStyle name="Normal 2 2" xfId="90"/>
    <cellStyle name="Normal 2 2 10" xfId="279"/>
    <cellStyle name="Normal 2 2 11" xfId="751"/>
    <cellStyle name="Normal 2 2 2" xfId="280"/>
    <cellStyle name="Normal 2 2 2 2" xfId="281"/>
    <cellStyle name="Normal 2 2 2 2 2" xfId="282"/>
    <cellStyle name="Normal 2 2 2 2 2 2" xfId="283"/>
    <cellStyle name="Normal 2 2 2 2 2 2 2" xfId="284"/>
    <cellStyle name="Normal 2 2 2 2 2 3" xfId="285"/>
    <cellStyle name="Normal 2 2 2 2 2 3 2" xfId="286"/>
    <cellStyle name="Normal 2 2 2 2 2 4" xfId="287"/>
    <cellStyle name="Normal 2 2 2 2 2 5" xfId="944"/>
    <cellStyle name="Normal 2 2 2 2 3" xfId="288"/>
    <cellStyle name="Normal 2 2 2 2 3 2" xfId="289"/>
    <cellStyle name="Normal 2 2 2 2 3 2 2" xfId="290"/>
    <cellStyle name="Normal 2 2 2 2 3 3" xfId="291"/>
    <cellStyle name="Normal 2 2 2 2 3 4" xfId="292"/>
    <cellStyle name="Normal 2 2 2 2 3 5" xfId="887"/>
    <cellStyle name="Normal 2 2 2 2 4" xfId="293"/>
    <cellStyle name="Normal 2 2 2 2 4 2" xfId="294"/>
    <cellStyle name="Normal 2 2 2 2 5" xfId="295"/>
    <cellStyle name="Normal 2 2 2 2 5 2" xfId="296"/>
    <cellStyle name="Normal 2 2 2 2 6" xfId="297"/>
    <cellStyle name="Normal 2 2 2 2 7" xfId="298"/>
    <cellStyle name="Normal 2 2 2 2 8" xfId="829"/>
    <cellStyle name="Normal 2 2 2 3" xfId="299"/>
    <cellStyle name="Normal 2 2 2 3 2" xfId="300"/>
    <cellStyle name="Normal 2 2 2 3 2 2" xfId="301"/>
    <cellStyle name="Normal 2 2 2 3 3" xfId="302"/>
    <cellStyle name="Normal 2 2 2 3 3 2" xfId="303"/>
    <cellStyle name="Normal 2 2 2 3 4" xfId="304"/>
    <cellStyle name="Normal 2 2 2 3 5" xfId="915"/>
    <cellStyle name="Normal 2 2 2 4" xfId="305"/>
    <cellStyle name="Normal 2 2 2 4 2" xfId="306"/>
    <cellStyle name="Normal 2 2 2 4 2 2" xfId="307"/>
    <cellStyle name="Normal 2 2 2 4 3" xfId="308"/>
    <cellStyle name="Normal 2 2 2 4 3 2" xfId="309"/>
    <cellStyle name="Normal 2 2 2 4 4" xfId="310"/>
    <cellStyle name="Normal 2 2 2 4 5" xfId="858"/>
    <cellStyle name="Normal 2 2 2 5" xfId="311"/>
    <cellStyle name="Normal 2 2 2 5 2" xfId="312"/>
    <cellStyle name="Normal 2 2 2 6" xfId="313"/>
    <cellStyle name="Normal 2 2 2 6 2" xfId="314"/>
    <cellStyle name="Normal 2 2 2 7" xfId="315"/>
    <cellStyle name="Normal 2 2 2 8" xfId="316"/>
    <cellStyle name="Normal 2 2 2 9" xfId="797"/>
    <cellStyle name="Normal 2 2 3" xfId="317"/>
    <cellStyle name="Normal 2 2 3 2" xfId="318"/>
    <cellStyle name="Normal 2 2 3 2 2" xfId="319"/>
    <cellStyle name="Normal 2 2 3 2 2 2" xfId="320"/>
    <cellStyle name="Normal 2 2 3 2 2 3" xfId="939"/>
    <cellStyle name="Normal 2 2 3 2 3" xfId="321"/>
    <cellStyle name="Normal 2 2 3 2 3 2" xfId="322"/>
    <cellStyle name="Normal 2 2 3 2 3 3" xfId="882"/>
    <cellStyle name="Normal 2 2 3 2 4" xfId="323"/>
    <cellStyle name="Normal 2 2 3 2 5" xfId="824"/>
    <cellStyle name="Normal 2 2 3 3" xfId="324"/>
    <cellStyle name="Normal 2 2 3 3 2" xfId="325"/>
    <cellStyle name="Normal 2 2 3 3 2 2" xfId="326"/>
    <cellStyle name="Normal 2 2 3 3 3" xfId="327"/>
    <cellStyle name="Normal 2 2 3 3 3 2" xfId="328"/>
    <cellStyle name="Normal 2 2 3 3 4" xfId="329"/>
    <cellStyle name="Normal 2 2 3 3 5" xfId="910"/>
    <cellStyle name="Normal 2 2 3 4" xfId="330"/>
    <cellStyle name="Normal 2 2 3 4 2" xfId="331"/>
    <cellStyle name="Normal 2 2 3 4 3" xfId="853"/>
    <cellStyle name="Normal 2 2 3 5" xfId="332"/>
    <cellStyle name="Normal 2 2 3 5 2" xfId="333"/>
    <cellStyle name="Normal 2 2 3 6" xfId="334"/>
    <cellStyle name="Normal 2 2 3 7" xfId="335"/>
    <cellStyle name="Normal 2 2 3 8" xfId="791"/>
    <cellStyle name="Normal 2 2 4" xfId="336"/>
    <cellStyle name="Normal 2 2 4 2" xfId="337"/>
    <cellStyle name="Normal 2 2 4 2 2" xfId="338"/>
    <cellStyle name="Normal 2 2 4 2 2 2" xfId="339"/>
    <cellStyle name="Normal 2 2 4 2 2 3" xfId="932"/>
    <cellStyle name="Normal 2 2 4 2 3" xfId="340"/>
    <cellStyle name="Normal 2 2 4 2 3 2" xfId="341"/>
    <cellStyle name="Normal 2 2 4 2 3 3" xfId="875"/>
    <cellStyle name="Normal 2 2 4 2 4" xfId="342"/>
    <cellStyle name="Normal 2 2 4 2 5" xfId="817"/>
    <cellStyle name="Normal 2 2 4 3" xfId="343"/>
    <cellStyle name="Normal 2 2 4 3 2" xfId="344"/>
    <cellStyle name="Normal 2 2 4 3 2 2" xfId="345"/>
    <cellStyle name="Normal 2 2 4 3 3" xfId="346"/>
    <cellStyle name="Normal 2 2 4 3 3 2" xfId="347"/>
    <cellStyle name="Normal 2 2 4 3 4" xfId="348"/>
    <cellStyle name="Normal 2 2 4 3 5" xfId="903"/>
    <cellStyle name="Normal 2 2 4 4" xfId="349"/>
    <cellStyle name="Normal 2 2 4 4 2" xfId="350"/>
    <cellStyle name="Normal 2 2 4 4 3" xfId="846"/>
    <cellStyle name="Normal 2 2 4 5" xfId="351"/>
    <cellStyle name="Normal 2 2 4 5 2" xfId="352"/>
    <cellStyle name="Normal 2 2 4 6" xfId="353"/>
    <cellStyle name="Normal 2 2 4 7" xfId="354"/>
    <cellStyle name="Normal 2 2 4 8" xfId="783"/>
    <cellStyle name="Normal 2 2 5" xfId="355"/>
    <cellStyle name="Normal 2 2 5 2" xfId="356"/>
    <cellStyle name="Normal 2 2 5 2 2" xfId="357"/>
    <cellStyle name="Normal 2 2 5 2 3" xfId="923"/>
    <cellStyle name="Normal 2 2 5 3" xfId="358"/>
    <cellStyle name="Normal 2 2 5 3 2" xfId="359"/>
    <cellStyle name="Normal 2 2 5 3 3" xfId="866"/>
    <cellStyle name="Normal 2 2 5 4" xfId="360"/>
    <cellStyle name="Normal 2 2 5 5" xfId="806"/>
    <cellStyle name="Normal 2 2 6" xfId="361"/>
    <cellStyle name="Normal 2 2 6 2" xfId="362"/>
    <cellStyle name="Normal 2 2 6 2 2" xfId="363"/>
    <cellStyle name="Normal 2 2 6 3" xfId="364"/>
    <cellStyle name="Normal 2 2 6 3 2" xfId="365"/>
    <cellStyle name="Normal 2 2 6 4" xfId="366"/>
    <cellStyle name="Normal 2 2 6 5" xfId="895"/>
    <cellStyle name="Normal 2 2 7" xfId="367"/>
    <cellStyle name="Normal 2 2 7 2" xfId="368"/>
    <cellStyle name="Normal 2 2 7 3" xfId="837"/>
    <cellStyle name="Normal 2 2 8" xfId="369"/>
    <cellStyle name="Normal 2 2 8 2" xfId="370"/>
    <cellStyle name="Normal 2 2 8 3" xfId="769"/>
    <cellStyle name="Normal 2 2 9" xfId="371"/>
    <cellStyle name="Normal 2 2 9 2" xfId="372"/>
    <cellStyle name="Normal 2 3" xfId="160"/>
    <cellStyle name="Normal 2 3 2" xfId="161"/>
    <cellStyle name="Normal 2 3 2 2" xfId="801"/>
    <cellStyle name="Normal 2 3 3" xfId="373"/>
    <cellStyle name="Normal 2 3 3 2" xfId="602"/>
    <cellStyle name="Normal 2 3 3 3" xfId="601"/>
    <cellStyle name="Normal 2 3 4" xfId="535"/>
    <cellStyle name="Normal 2 3 4 2" xfId="778"/>
    <cellStyle name="Normal 2 3 5" xfId="810"/>
    <cellStyle name="Normal 2 3 5 2" xfId="925"/>
    <cellStyle name="Normal 2 3 5 3" xfId="868"/>
    <cellStyle name="Normal 2 3 6" xfId="897"/>
    <cellStyle name="Normal 2 3 7" xfId="839"/>
    <cellStyle name="Normal 2 3 8" xfId="773"/>
    <cellStyle name="Normal 2 4" xfId="162"/>
    <cellStyle name="Normal 2 4 2" xfId="374"/>
    <cellStyle name="Normal 2 4 2 2" xfId="605"/>
    <cellStyle name="Normal 2 4 2 3" xfId="604"/>
    <cellStyle name="Normal 2 4 3" xfId="603"/>
    <cellStyle name="Normal 2 5" xfId="375"/>
    <cellStyle name="Normal 2 5 2" xfId="607"/>
    <cellStyle name="Normal 2 5 2 2" xfId="934"/>
    <cellStyle name="Normal 2 5 2 3" xfId="877"/>
    <cellStyle name="Normal 2 5 2 4" xfId="819"/>
    <cellStyle name="Normal 2 5 3" xfId="606"/>
    <cellStyle name="Normal 2 5 3 2" xfId="905"/>
    <cellStyle name="Normal 2 5 4" xfId="848"/>
    <cellStyle name="Normal 2 5 5" xfId="785"/>
    <cellStyle name="Normal 2 6" xfId="376"/>
    <cellStyle name="Normal 2 6 2" xfId="812"/>
    <cellStyle name="Normal 2 6 2 2" xfId="927"/>
    <cellStyle name="Normal 2 6 2 3" xfId="870"/>
    <cellStyle name="Normal 2 6 3" xfId="898"/>
    <cellStyle name="Normal 2 6 4" xfId="841"/>
    <cellStyle name="Normal 2 7" xfId="608"/>
    <cellStyle name="Normal 2 7 2" xfId="921"/>
    <cellStyle name="Normal 2 7 3" xfId="864"/>
    <cellStyle name="Normal 2 7 4" xfId="804"/>
    <cellStyle name="Normal 2 8" xfId="536"/>
    <cellStyle name="Normal 2 8 2" xfId="893"/>
    <cellStyle name="Normal 2 9" xfId="835"/>
    <cellStyle name="Normal 3" xfId="12"/>
    <cellStyle name="Normal 3 2" xfId="77"/>
    <cellStyle name="Normal 3 2 2" xfId="377"/>
    <cellStyle name="Normal 3 2 2 2" xfId="509"/>
    <cellStyle name="Normal 3 2 2 3" xfId="609"/>
    <cellStyle name="Normal 3 2 3" xfId="512"/>
    <cellStyle name="Normal 3 2 4" xfId="802"/>
    <cellStyle name="Normal 3 3" xfId="76"/>
    <cellStyle name="Normal 3 3 2" xfId="378"/>
    <cellStyle name="Normal 3 3 2 2" xfId="612"/>
    <cellStyle name="Normal 3 3 2 3" xfId="611"/>
    <cellStyle name="Normal 3 3 3" xfId="613"/>
    <cellStyle name="Normal 3 3 3 2" xfId="614"/>
    <cellStyle name="Normal 3 3 4" xfId="610"/>
    <cellStyle name="Normal 3 3 5" xfId="796"/>
    <cellStyle name="Normal 3 4" xfId="615"/>
    <cellStyle name="Normal 3 4 2" xfId="790"/>
    <cellStyle name="Normal 3 5" xfId="616"/>
    <cellStyle name="Normal 3 5 2" xfId="780"/>
    <cellStyle name="Normal 3 6" xfId="761"/>
    <cellStyle name="Normal 4" xfId="107"/>
    <cellStyle name="Normal 4 10" xfId="379"/>
    <cellStyle name="Normal 4 11" xfId="380"/>
    <cellStyle name="Normal 4 12" xfId="381"/>
    <cellStyle name="Normal 4 13" xfId="618"/>
    <cellStyle name="Normal 4 14" xfId="617"/>
    <cellStyle name="Normal 4 15" xfId="752"/>
    <cellStyle name="Normal 4 2" xfId="163"/>
    <cellStyle name="Normal 4 2 10" xfId="772"/>
    <cellStyle name="Normal 4 2 2" xfId="383"/>
    <cellStyle name="Normal 4 2 2 10" xfId="798"/>
    <cellStyle name="Normal 4 2 2 2" xfId="384"/>
    <cellStyle name="Normal 4 2 2 2 2" xfId="385"/>
    <cellStyle name="Normal 4 2 2 2 2 2" xfId="386"/>
    <cellStyle name="Normal 4 2 2 2 2 3" xfId="946"/>
    <cellStyle name="Normal 4 2 2 2 3" xfId="387"/>
    <cellStyle name="Normal 4 2 2 2 3 2" xfId="388"/>
    <cellStyle name="Normal 4 2 2 2 3 3" xfId="889"/>
    <cellStyle name="Normal 4 2 2 2 4" xfId="389"/>
    <cellStyle name="Normal 4 2 2 2 5" xfId="831"/>
    <cellStyle name="Normal 4 2 2 3" xfId="390"/>
    <cellStyle name="Normal 4 2 2 3 2" xfId="391"/>
    <cellStyle name="Normal 4 2 2 3 2 2" xfId="392"/>
    <cellStyle name="Normal 4 2 2 3 3" xfId="393"/>
    <cellStyle name="Normal 4 2 2 3 4" xfId="394"/>
    <cellStyle name="Normal 4 2 2 3 5" xfId="917"/>
    <cellStyle name="Normal 4 2 2 4" xfId="395"/>
    <cellStyle name="Normal 4 2 2 4 2" xfId="396"/>
    <cellStyle name="Normal 4 2 2 4 3" xfId="860"/>
    <cellStyle name="Normal 4 2 2 5" xfId="397"/>
    <cellStyle name="Normal 4 2 2 5 2" xfId="398"/>
    <cellStyle name="Normal 4 2 2 6" xfId="399"/>
    <cellStyle name="Normal 4 2 2 7" xfId="400"/>
    <cellStyle name="Normal 4 2 2 8" xfId="620"/>
    <cellStyle name="Normal 4 2 2 9" xfId="619"/>
    <cellStyle name="Normal 4 2 3" xfId="401"/>
    <cellStyle name="Normal 4 2 3 2" xfId="402"/>
    <cellStyle name="Normal 4 2 3 2 2" xfId="403"/>
    <cellStyle name="Normal 4 2 3 3" xfId="404"/>
    <cellStyle name="Normal 4 2 3 3 2" xfId="405"/>
    <cellStyle name="Normal 4 2 3 4" xfId="406"/>
    <cellStyle name="Normal 4 2 3 5" xfId="809"/>
    <cellStyle name="Normal 4 2 4" xfId="407"/>
    <cellStyle name="Normal 4 2 4 2" xfId="408"/>
    <cellStyle name="Normal 4 2 4 2 2" xfId="409"/>
    <cellStyle name="Normal 4 2 4 3" xfId="410"/>
    <cellStyle name="Normal 4 2 4 3 2" xfId="411"/>
    <cellStyle name="Normal 4 2 4 4" xfId="412"/>
    <cellStyle name="Normal 4 2 5" xfId="413"/>
    <cellStyle name="Normal 4 2 5 2" xfId="414"/>
    <cellStyle name="Normal 4 2 6" xfId="415"/>
    <cellStyle name="Normal 4 2 6 2" xfId="416"/>
    <cellStyle name="Normal 4 2 7" xfId="417"/>
    <cellStyle name="Normal 4 2 8" xfId="418"/>
    <cellStyle name="Normal 4 2 9" xfId="382"/>
    <cellStyle name="Normal 4 3" xfId="164"/>
    <cellStyle name="Normal 4 3 2" xfId="165"/>
    <cellStyle name="Normal 4 3 2 2" xfId="419"/>
    <cellStyle name="Normal 4 3 2 2 2" xfId="420"/>
    <cellStyle name="Normal 4 3 2 2 3" xfId="936"/>
    <cellStyle name="Normal 4 3 2 3" xfId="421"/>
    <cellStyle name="Normal 4 3 2 3 2" xfId="422"/>
    <cellStyle name="Normal 4 3 2 3 3" xfId="879"/>
    <cellStyle name="Normal 4 3 2 4" xfId="423"/>
    <cellStyle name="Normal 4 3 2 5" xfId="821"/>
    <cellStyle name="Normal 4 3 3" xfId="424"/>
    <cellStyle name="Normal 4 3 3 2" xfId="425"/>
    <cellStyle name="Normal 4 3 3 2 2" xfId="426"/>
    <cellStyle name="Normal 4 3 3 3" xfId="427"/>
    <cellStyle name="Normal 4 3 3 4" xfId="428"/>
    <cellStyle name="Normal 4 3 3 5" xfId="907"/>
    <cellStyle name="Normal 4 3 4" xfId="429"/>
    <cellStyle name="Normal 4 3 4 2" xfId="430"/>
    <cellStyle name="Normal 4 3 4 3" xfId="850"/>
    <cellStyle name="Normal 4 3 5" xfId="431"/>
    <cellStyle name="Normal 4 3 5 2" xfId="432"/>
    <cellStyle name="Normal 4 3 6" xfId="433"/>
    <cellStyle name="Normal 4 3 7" xfId="434"/>
    <cellStyle name="Normal 4 3 8" xfId="621"/>
    <cellStyle name="Normal 4 3 9" xfId="787"/>
    <cellStyle name="Normal 4 4" xfId="166"/>
    <cellStyle name="Normal 4 4 2" xfId="435"/>
    <cellStyle name="Normal 4 4 2 2" xfId="436"/>
    <cellStyle name="Normal 4 4 2 2 2" xfId="437"/>
    <cellStyle name="Normal 4 4 2 2 3" xfId="929"/>
    <cellStyle name="Normal 4 4 2 3" xfId="438"/>
    <cellStyle name="Normal 4 4 2 3 2" xfId="439"/>
    <cellStyle name="Normal 4 4 2 3 3" xfId="872"/>
    <cellStyle name="Normal 4 4 2 4" xfId="440"/>
    <cellStyle name="Normal 4 4 2 5" xfId="814"/>
    <cellStyle name="Normal 4 4 3" xfId="441"/>
    <cellStyle name="Normal 4 4 3 2" xfId="442"/>
    <cellStyle name="Normal 4 4 3 2 2" xfId="443"/>
    <cellStyle name="Normal 4 4 3 3" xfId="444"/>
    <cellStyle name="Normal 4 4 3 4" xfId="445"/>
    <cellStyle name="Normal 4 4 3 5" xfId="900"/>
    <cellStyle name="Normal 4 4 4" xfId="446"/>
    <cellStyle name="Normal 4 4 4 2" xfId="447"/>
    <cellStyle name="Normal 4 4 4 3" xfId="843"/>
    <cellStyle name="Normal 4 4 5" xfId="448"/>
    <cellStyle name="Normal 4 4 5 2" xfId="449"/>
    <cellStyle name="Normal 4 4 6" xfId="450"/>
    <cellStyle name="Normal 4 4 7" xfId="451"/>
    <cellStyle name="Normal 4 4 8" xfId="775"/>
    <cellStyle name="Normal 4 5" xfId="452"/>
    <cellStyle name="Normal 4 5 2" xfId="453"/>
    <cellStyle name="Normal 4 5 2 2" xfId="454"/>
    <cellStyle name="Normal 4 5 3" xfId="455"/>
    <cellStyle name="Normal 4 5 3 2" xfId="456"/>
    <cellStyle name="Normal 4 5 4" xfId="457"/>
    <cellStyle name="Normal 4 5 5" xfId="623"/>
    <cellStyle name="Normal 4 5 6" xfId="622"/>
    <cellStyle name="Normal 4 5 7" xfId="765"/>
    <cellStyle name="Normal 4 6" xfId="458"/>
    <cellStyle name="Normal 4 6 2" xfId="459"/>
    <cellStyle name="Normal 4 6 2 2" xfId="460"/>
    <cellStyle name="Normal 4 6 3" xfId="461"/>
    <cellStyle name="Normal 4 6 3 2" xfId="462"/>
    <cellStyle name="Normal 4 6 4" xfId="463"/>
    <cellStyle name="Normal 4 6 5" xfId="952"/>
    <cellStyle name="Normal 4 7" xfId="464"/>
    <cellStyle name="Normal 4 7 2" xfId="465"/>
    <cellStyle name="Normal 4 8" xfId="466"/>
    <cellStyle name="Normal 4 8 2" xfId="467"/>
    <cellStyle name="Normal 4 9" xfId="468"/>
    <cellStyle name="Normal 5" xfId="167"/>
    <cellStyle name="Normal 5 2" xfId="168"/>
    <cellStyle name="Normal 5 2 2" xfId="470"/>
    <cellStyle name="Normal 5 2 2 2" xfId="625"/>
    <cellStyle name="Normal 5 2 2 2 2" xfId="941"/>
    <cellStyle name="Normal 5 2 2 3" xfId="624"/>
    <cellStyle name="Normal 5 2 2 3 2" xfId="884"/>
    <cellStyle name="Normal 5 2 2 4" xfId="826"/>
    <cellStyle name="Normal 5 2 3" xfId="912"/>
    <cellStyle name="Normal 5 2 4" xfId="855"/>
    <cellStyle name="Normal 5 2 5" xfId="793"/>
    <cellStyle name="Normal 5 3" xfId="469"/>
    <cellStyle name="Normal 5 3 2" xfId="808"/>
    <cellStyle name="Normal 5 4" xfId="771"/>
    <cellStyle name="Normal 6" xfId="58"/>
    <cellStyle name="Normal 6 2" xfId="169"/>
    <cellStyle name="Normal 6 3" xfId="753"/>
    <cellStyle name="Normal 7" xfId="170"/>
    <cellStyle name="Normal 7 2" xfId="171"/>
    <cellStyle name="Normal 7 3" xfId="954"/>
    <cellStyle name="Normal 7 4" xfId="757"/>
    <cellStyle name="Normal 8" xfId="95"/>
    <cellStyle name="Normal 8 2" xfId="132"/>
    <cellStyle name="Normal 8 2 2" xfId="627"/>
    <cellStyle name="Normal 8 2 3" xfId="626"/>
    <cellStyle name="Normal 8 3" xfId="471"/>
    <cellStyle name="Normal 8 3 2" xfId="629"/>
    <cellStyle name="Normal 8 3 3" xfId="628"/>
    <cellStyle name="Normal 9" xfId="123"/>
    <cellStyle name="Normal 9 2" xfId="472"/>
    <cellStyle name="Normal 9 2 2" xfId="631"/>
    <cellStyle name="Normal 9 2 3" xfId="630"/>
    <cellStyle name="numerique" xfId="19"/>
    <cellStyle name="Numerique 2" xfId="53"/>
    <cellStyle name="numerique 2 2" xfId="172"/>
    <cellStyle name="numerique 3" xfId="114"/>
    <cellStyle name="numerique 3 2" xfId="173"/>
    <cellStyle name="numerique 4" xfId="473"/>
    <cellStyle name="numerique 5" xfId="474"/>
    <cellStyle name="Numerique 6" xfId="754"/>
    <cellStyle name="Output" xfId="174"/>
    <cellStyle name="Percent 2" xfId="207"/>
    <cellStyle name="Percent0" xfId="78"/>
    <cellStyle name="Percent1" xfId="79"/>
    <cellStyle name="Percent2" xfId="80"/>
    <cellStyle name="performance" xfId="20"/>
    <cellStyle name="performance 2" xfId="115"/>
    <cellStyle name="performance 2 2" xfId="175"/>
    <cellStyle name="performance 3" xfId="176"/>
    <cellStyle name="performance 3 2" xfId="177"/>
    <cellStyle name="Pied" xfId="21"/>
    <cellStyle name="Pied 2" xfId="116"/>
    <cellStyle name="Pied 2 2" xfId="178"/>
    <cellStyle name="Pied 3" xfId="179"/>
    <cellStyle name="Pied 3 2" xfId="180"/>
    <cellStyle name="Pourcentage" xfId="1" builtinId="5"/>
    <cellStyle name="Pourcentage 2" xfId="9"/>
    <cellStyle name="Pourcentage 2 10" xfId="755"/>
    <cellStyle name="Pourcentage 2 2" xfId="119"/>
    <cellStyle name="Pourcentage 2 2 2" xfId="477"/>
    <cellStyle name="Pourcentage 2 2 2 2" xfId="633"/>
    <cellStyle name="Pourcentage 2 2 2 2 2" xfId="949"/>
    <cellStyle name="Pourcentage 2 2 2 2 3" xfId="892"/>
    <cellStyle name="Pourcentage 2 2 2 2 4" xfId="834"/>
    <cellStyle name="Pourcentage 2 2 2 3" xfId="632"/>
    <cellStyle name="Pourcentage 2 2 2 3 2" xfId="920"/>
    <cellStyle name="Pourcentage 2 2 2 4" xfId="863"/>
    <cellStyle name="Pourcentage 2 2 2 5" xfId="803"/>
    <cellStyle name="Pourcentage 2 2 3" xfId="634"/>
    <cellStyle name="Pourcentage 2 2 3 2" xfId="635"/>
    <cellStyle name="Pourcentage 2 2 3 2 2" xfId="940"/>
    <cellStyle name="Pourcentage 2 2 3 2 3" xfId="883"/>
    <cellStyle name="Pourcentage 2 2 3 2 4" xfId="825"/>
    <cellStyle name="Pourcentage 2 2 3 3" xfId="911"/>
    <cellStyle name="Pourcentage 2 2 3 4" xfId="854"/>
    <cellStyle name="Pourcentage 2 2 3 5" xfId="792"/>
    <cellStyle name="Pourcentage 2 2 4" xfId="538"/>
    <cellStyle name="Pourcentage 2 2 4 2" xfId="818"/>
    <cellStyle name="Pourcentage 2 2 4 2 2" xfId="933"/>
    <cellStyle name="Pourcentage 2 2 4 2 3" xfId="876"/>
    <cellStyle name="Pourcentage 2 2 4 3" xfId="904"/>
    <cellStyle name="Pourcentage 2 2 4 4" xfId="847"/>
    <cellStyle name="Pourcentage 2 2 4 5" xfId="784"/>
    <cellStyle name="Pourcentage 2 2 5" xfId="807"/>
    <cellStyle name="Pourcentage 2 2 5 2" xfId="924"/>
    <cellStyle name="Pourcentage 2 2 5 3" xfId="867"/>
    <cellStyle name="Pourcentage 2 2 6" xfId="896"/>
    <cellStyle name="Pourcentage 2 2 7" xfId="838"/>
    <cellStyle name="Pourcentage 2 2 8" xfId="770"/>
    <cellStyle name="Pourcentage 2 3" xfId="202"/>
    <cellStyle name="Pourcentage 2 3 2" xfId="637"/>
    <cellStyle name="Pourcentage 2 3 2 2" xfId="830"/>
    <cellStyle name="Pourcentage 2 3 2 2 2" xfId="945"/>
    <cellStyle name="Pourcentage 2 3 2 2 3" xfId="888"/>
    <cellStyle name="Pourcentage 2 3 2 3" xfId="916"/>
    <cellStyle name="Pourcentage 2 3 2 4" xfId="859"/>
    <cellStyle name="Pourcentage 2 3 3" xfId="636"/>
    <cellStyle name="Pourcentage 2 3 3 2" xfId="926"/>
    <cellStyle name="Pourcentage 2 3 3 3" xfId="869"/>
    <cellStyle name="Pourcentage 2 3 3 4" xfId="811"/>
    <cellStyle name="Pourcentage 2 3 4" xfId="478"/>
    <cellStyle name="Pourcentage 2 3 5" xfId="840"/>
    <cellStyle name="Pourcentage 2 4" xfId="638"/>
    <cellStyle name="Pourcentage 2 4 2" xfId="820"/>
    <cellStyle name="Pourcentage 2 4 2 2" xfId="935"/>
    <cellStyle name="Pourcentage 2 4 2 3" xfId="878"/>
    <cellStyle name="Pourcentage 2 4 3" xfId="906"/>
    <cellStyle name="Pourcentage 2 4 4" xfId="849"/>
    <cellStyle name="Pourcentage 2 4 5" xfId="786"/>
    <cellStyle name="Pourcentage 2 5" xfId="774"/>
    <cellStyle name="Pourcentage 2 5 2" xfId="813"/>
    <cellStyle name="Pourcentage 2 5 2 2" xfId="928"/>
    <cellStyle name="Pourcentage 2 5 2 3" xfId="871"/>
    <cellStyle name="Pourcentage 2 5 3" xfId="899"/>
    <cellStyle name="Pourcentage 2 5 4" xfId="842"/>
    <cellStyle name="Pourcentage 2 6" xfId="805"/>
    <cellStyle name="Pourcentage 2 6 2" xfId="922"/>
    <cellStyle name="Pourcentage 2 6 3" xfId="865"/>
    <cellStyle name="Pourcentage 2 7" xfId="894"/>
    <cellStyle name="Pourcentage 2 8" xfId="836"/>
    <cellStyle name="Pourcentage 2 9" xfId="760"/>
    <cellStyle name="Pourcentage 3" xfId="99"/>
    <cellStyle name="Pourcentage 3 2" xfId="639"/>
    <cellStyle name="Pourcentage 3 2 2" xfId="782"/>
    <cellStyle name="Pourcentage 3 3" xfId="537"/>
    <cellStyle name="Pourcentage 3 3 2" xfId="762"/>
    <cellStyle name="Pourcentage 3 4" xfId="756"/>
    <cellStyle name="Pourcentage 4" xfId="98"/>
    <cellStyle name="Pourcentage 4 2" xfId="800"/>
    <cellStyle name="Pourcentage 4 2 2" xfId="833"/>
    <cellStyle name="Pourcentage 4 2 2 2" xfId="948"/>
    <cellStyle name="Pourcentage 4 2 2 3" xfId="891"/>
    <cellStyle name="Pourcentage 4 2 3" xfId="919"/>
    <cellStyle name="Pourcentage 4 2 4" xfId="862"/>
    <cellStyle name="Pourcentage 4 3" xfId="789"/>
    <cellStyle name="Pourcentage 4 3 2" xfId="823"/>
    <cellStyle name="Pourcentage 4 3 2 2" xfId="938"/>
    <cellStyle name="Pourcentage 4 3 2 3" xfId="881"/>
    <cellStyle name="Pourcentage 4 3 3" xfId="909"/>
    <cellStyle name="Pourcentage 4 3 4" xfId="852"/>
    <cellStyle name="Pourcentage 4 4" xfId="777"/>
    <cellStyle name="Pourcentage 4 4 2" xfId="816"/>
    <cellStyle name="Pourcentage 4 4 2 2" xfId="931"/>
    <cellStyle name="Pourcentage 4 4 2 3" xfId="874"/>
    <cellStyle name="Pourcentage 4 4 3" xfId="902"/>
    <cellStyle name="Pourcentage 4 4 4" xfId="845"/>
    <cellStyle name="Pourcentage 4 5" xfId="767"/>
    <cellStyle name="Pourcentage 5" xfId="479"/>
    <cellStyle name="Pourcentage 5 2" xfId="828"/>
    <cellStyle name="Pourcentage 5 2 2" xfId="943"/>
    <cellStyle name="Pourcentage 5 2 3" xfId="886"/>
    <cellStyle name="Pourcentage 5 3" xfId="914"/>
    <cellStyle name="Pourcentage 5 4" xfId="857"/>
    <cellStyle name="Pourcentage 5 5" xfId="795"/>
    <cellStyle name="Pourcentage 6" xfId="480"/>
    <cellStyle name="Pourcentage 7" xfId="476"/>
    <cellStyle name="Pourcentage 7 2" xfId="530"/>
    <cellStyle name="Pourcentage 7 2 2" xfId="953"/>
    <cellStyle name="Pourcentage 7 3" xfId="950"/>
    <cellStyle name="Pourcentage 8" xfId="640"/>
    <cellStyle name="QIS5Area" xfId="481"/>
    <cellStyle name="QIS5Area 2" xfId="768"/>
    <cellStyle name="rang" xfId="56"/>
    <cellStyle name="Rang 10" xfId="518"/>
    <cellStyle name="rang 2" xfId="483"/>
    <cellStyle name="Rang 3" xfId="482"/>
    <cellStyle name="Rang 4" xfId="495"/>
    <cellStyle name="Rang 5" xfId="475"/>
    <cellStyle name="Rang 6" xfId="517"/>
    <cellStyle name="Rang 7" xfId="503"/>
    <cellStyle name="Rang 8" xfId="519"/>
    <cellStyle name="Rang 9" xfId="501"/>
    <cellStyle name="Regroupement_Entete" xfId="10"/>
    <cellStyle name="Satisfaisant 2" xfId="764"/>
    <cellStyle name="Satisfaisant 3" xfId="959"/>
    <cellStyle name="Sortie 2" xfId="963"/>
    <cellStyle name="Standard_DJ iTraxx Japan results_50" xfId="181"/>
    <cellStyle name="Style 1" xfId="94"/>
    <cellStyle name="Style 1 2" xfId="101"/>
    <cellStyle name="Style 1 3" xfId="100"/>
    <cellStyle name="StyleRating" xfId="22"/>
    <cellStyle name="StyleRating 2" xfId="55"/>
    <cellStyle name="swpBody01" xfId="81"/>
    <cellStyle name="tableau" xfId="23"/>
    <cellStyle name="tableau 2" xfId="57"/>
    <cellStyle name="tableau 2 2" xfId="182"/>
    <cellStyle name="tableau 3" xfId="117"/>
    <cellStyle name="tableau 3 2" xfId="183"/>
    <cellStyle name="tableau 4" xfId="641"/>
    <cellStyle name="TEST" xfId="82"/>
    <cellStyle name="TEST 2" xfId="484"/>
    <cellStyle name="Texte" xfId="24"/>
    <cellStyle name="Texte 2" xfId="118"/>
    <cellStyle name="Texte 2 2" xfId="184"/>
    <cellStyle name="Texte 3" xfId="185"/>
    <cellStyle name="Texte 3 2" xfId="186"/>
    <cellStyle name="Texte explicatif 2" xfId="969"/>
    <cellStyle name="Title" xfId="83"/>
    <cellStyle name="Title2" xfId="84"/>
    <cellStyle name="TitleCols_Gen_line_pC" xfId="85"/>
    <cellStyle name="TitleImpCols_Gen_pC" xfId="86"/>
    <cellStyle name="TitleImpLines_Gen_date_PD" xfId="87"/>
    <cellStyle name="TitleLines_Date" xfId="88"/>
    <cellStyle name="TitleSubCols_Gen_pG" xfId="89"/>
    <cellStyle name="Titre" xfId="195" builtinId="15" customBuiltin="1"/>
    <cellStyle name="Titre 1" xfId="779"/>
    <cellStyle name="Titre 2" xfId="11"/>
    <cellStyle name="Titre 2 2" xfId="485"/>
    <cellStyle name="Titre 2 3" xfId="486"/>
    <cellStyle name="Titre 3" xfId="25"/>
    <cellStyle name="Titre 3 2" xfId="487"/>
    <cellStyle name="Titre 4" xfId="187"/>
    <cellStyle name="Titre 5" xfId="188"/>
    <cellStyle name="Titre colonnes" xfId="488"/>
    <cellStyle name="Titre general" xfId="489"/>
    <cellStyle name="Titre lignes" xfId="490"/>
    <cellStyle name="Titre page" xfId="491"/>
    <cellStyle name="Titre 1 2" xfId="955"/>
    <cellStyle name="Titre 2 2" xfId="956"/>
    <cellStyle name="Titre 3 2" xfId="957"/>
    <cellStyle name="Titre 4 2" xfId="958"/>
    <cellStyle name="Total 2" xfId="970"/>
    <cellStyle name="TranIDStyle" xfId="189"/>
    <cellStyle name="TranIDStyle 2" xfId="190"/>
    <cellStyle name="TranIDStyle 3" xfId="191"/>
    <cellStyle name="Vérification 2" xfId="966"/>
  </cellStyles>
  <dxfs count="6">
    <dxf>
      <font>
        <color theme="0"/>
      </font>
      <fill>
        <patternFill patternType="solid">
          <bgColor rgb="FF00647F"/>
        </patternFill>
      </fill>
      <border>
        <left style="thin">
          <color theme="0"/>
        </left>
        <right style="thin">
          <color theme="0"/>
        </right>
        <top style="thin">
          <color theme="0"/>
        </top>
        <bottom style="thin">
          <color theme="0"/>
        </bottom>
      </border>
    </dxf>
    <dxf>
      <fill>
        <patternFill patternType="none">
          <bgColor auto="1"/>
        </patternFill>
      </fill>
      <border>
        <left/>
        <right/>
        <top/>
        <bottom/>
      </border>
    </dxf>
    <dxf>
      <font>
        <color rgb="FFFF0000"/>
      </font>
    </dxf>
    <dxf>
      <font>
        <color rgb="FF00508C"/>
      </font>
    </dxf>
    <dxf>
      <font>
        <color rgb="FFFF0000"/>
      </font>
    </dxf>
    <dxf>
      <font>
        <color rgb="FF00508C"/>
      </font>
    </dxf>
  </dxfs>
  <tableStyles count="0" defaultTableStyle="TableStyleMedium9" defaultPivotStyle="PivotStyleLight16"/>
  <colors>
    <mruColors>
      <color rgb="FFD5D4D4"/>
      <color rgb="FF00647F"/>
      <color rgb="FFAAAFB4"/>
      <color rgb="FF0077AD"/>
      <color rgb="FF0077AB"/>
      <color rgb="FF6599B7"/>
      <color rgb="FF82CBD0"/>
      <color rgb="FFBED700"/>
      <color rgb="FF5582AA"/>
      <color rgb="FF00508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214255275153562E-2"/>
          <c:y val="6.6276508494434686E-2"/>
          <c:w val="0.53946944444444445"/>
          <c:h val="0.82138137082601059"/>
        </c:manualLayout>
      </c:layout>
      <c:barChart>
        <c:barDir val="bar"/>
        <c:grouping val="clustered"/>
        <c:varyColors val="0"/>
        <c:ser>
          <c:idx val="0"/>
          <c:order val="0"/>
          <c:invertIfNegative val="0"/>
          <c:dPt>
            <c:idx val="0"/>
            <c:invertIfNegative val="0"/>
            <c:bubble3D val="0"/>
            <c:spPr>
              <a:solidFill>
                <a:srgbClr val="00647F"/>
              </a:solidFill>
            </c:spPr>
          </c:dPt>
          <c:dPt>
            <c:idx val="1"/>
            <c:invertIfNegative val="0"/>
            <c:bubble3D val="0"/>
            <c:spPr>
              <a:solidFill>
                <a:srgbClr val="D9D9D9"/>
              </a:solidFill>
            </c:spPr>
          </c:dPt>
          <c:dLbls>
            <c:showLegendKey val="0"/>
            <c:showVal val="1"/>
            <c:showCatName val="0"/>
            <c:showSerName val="0"/>
            <c:showPercent val="0"/>
            <c:showBubbleSize val="0"/>
            <c:showLeaderLines val="0"/>
          </c:dLbls>
          <c:cat>
            <c:strRef>
              <c:f>Performances!$A$59:$A$60</c:f>
              <c:strCache>
                <c:ptCount val="2"/>
                <c:pt idx="0">
                  <c:v>Fund</c:v>
                </c:pt>
                <c:pt idx="1">
                  <c:v>Benchmark (1)</c:v>
                </c:pt>
              </c:strCache>
            </c:strRef>
          </c:cat>
          <c:val>
            <c:numRef>
              <c:f>Performances!$B$59:$B$60</c:f>
              <c:numCache>
                <c:formatCode>0.00%</c:formatCode>
                <c:ptCount val="2"/>
                <c:pt idx="0">
                  <c:v>2.6184099999999998E-3</c:v>
                </c:pt>
                <c:pt idx="1">
                  <c:v>1.0273000000000001E-3</c:v>
                </c:pt>
              </c:numCache>
            </c:numRef>
          </c:val>
        </c:ser>
        <c:dLbls>
          <c:showLegendKey val="0"/>
          <c:showVal val="0"/>
          <c:showCatName val="0"/>
          <c:showSerName val="0"/>
          <c:showPercent val="0"/>
          <c:showBubbleSize val="0"/>
        </c:dLbls>
        <c:gapWidth val="60"/>
        <c:overlap val="-100"/>
        <c:axId val="556307584"/>
        <c:axId val="556309120"/>
      </c:barChart>
      <c:catAx>
        <c:axId val="556307584"/>
        <c:scaling>
          <c:orientation val="maxMin"/>
        </c:scaling>
        <c:delete val="0"/>
        <c:axPos val="l"/>
        <c:majorTickMark val="none"/>
        <c:minorTickMark val="none"/>
        <c:tickLblPos val="high"/>
        <c:txPr>
          <a:bodyPr/>
          <a:lstStyle/>
          <a:p>
            <a:pPr>
              <a:defRPr sz="800" b="1">
                <a:latin typeface="Arial" pitchFamily="34" charset="0"/>
                <a:cs typeface="Arial" pitchFamily="34" charset="0"/>
              </a:defRPr>
            </a:pPr>
            <a:endParaRPr lang="fr-FR"/>
          </a:p>
        </c:txPr>
        <c:crossAx val="556309120"/>
        <c:crosses val="autoZero"/>
        <c:auto val="0"/>
        <c:lblAlgn val="ctr"/>
        <c:lblOffset val="100"/>
        <c:tickLblSkip val="1"/>
        <c:noMultiLvlLbl val="0"/>
      </c:catAx>
      <c:valAx>
        <c:axId val="556309120"/>
        <c:scaling>
          <c:orientation val="minMax"/>
        </c:scaling>
        <c:delete val="0"/>
        <c:axPos val="t"/>
        <c:numFmt formatCode="0.00%" sourceLinked="1"/>
        <c:majorTickMark val="out"/>
        <c:minorTickMark val="none"/>
        <c:tickLblPos val="none"/>
        <c:spPr>
          <a:noFill/>
          <a:ln>
            <a:noFill/>
          </a:ln>
        </c:spPr>
        <c:crossAx val="556307584"/>
        <c:crosses val="autoZero"/>
        <c:crossBetween val="between"/>
      </c:valAx>
      <c:spPr>
        <a:noFill/>
        <a:ln>
          <a:noFill/>
        </a:ln>
      </c:spPr>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214255275153562E-2"/>
          <c:y val="6.6276508494434686E-2"/>
          <c:w val="0.53946944444444445"/>
          <c:h val="0.82138137082601059"/>
        </c:manualLayout>
      </c:layout>
      <c:barChart>
        <c:barDir val="bar"/>
        <c:grouping val="clustered"/>
        <c:varyColors val="0"/>
        <c:ser>
          <c:idx val="0"/>
          <c:order val="0"/>
          <c:invertIfNegative val="0"/>
          <c:dPt>
            <c:idx val="0"/>
            <c:invertIfNegative val="0"/>
            <c:bubble3D val="0"/>
            <c:spPr>
              <a:solidFill>
                <a:srgbClr val="00647F"/>
              </a:solidFill>
            </c:spPr>
          </c:dPt>
          <c:dPt>
            <c:idx val="1"/>
            <c:invertIfNegative val="0"/>
            <c:bubble3D val="0"/>
            <c:spPr>
              <a:solidFill>
                <a:srgbClr val="D9D9D9"/>
              </a:solidFill>
            </c:spPr>
          </c:dPt>
          <c:dLbls>
            <c:showLegendKey val="0"/>
            <c:showVal val="1"/>
            <c:showCatName val="0"/>
            <c:showSerName val="0"/>
            <c:showPercent val="0"/>
            <c:showBubbleSize val="0"/>
            <c:showLeaderLines val="0"/>
          </c:dLbls>
          <c:cat>
            <c:strRef>
              <c:f>Performances!$D$59:$D$60</c:f>
              <c:strCache>
                <c:ptCount val="2"/>
                <c:pt idx="0">
                  <c:v>Fund</c:v>
                </c:pt>
                <c:pt idx="1">
                  <c:v>Benchmark (1)</c:v>
                </c:pt>
              </c:strCache>
            </c:strRef>
          </c:cat>
          <c:val>
            <c:numRef>
              <c:f>Performances!$E$59:$E$60</c:f>
              <c:numCache>
                <c:formatCode>0.00%</c:formatCode>
                <c:ptCount val="2"/>
                <c:pt idx="0">
                  <c:v>3.6132110000000002E-2</c:v>
                </c:pt>
                <c:pt idx="1">
                  <c:v>3.977236E-2</c:v>
                </c:pt>
              </c:numCache>
            </c:numRef>
          </c:val>
        </c:ser>
        <c:dLbls>
          <c:showLegendKey val="0"/>
          <c:showVal val="0"/>
          <c:showCatName val="0"/>
          <c:showSerName val="0"/>
          <c:showPercent val="0"/>
          <c:showBubbleSize val="0"/>
        </c:dLbls>
        <c:gapWidth val="60"/>
        <c:overlap val="-100"/>
        <c:axId val="556317696"/>
        <c:axId val="556532480"/>
      </c:barChart>
      <c:catAx>
        <c:axId val="556317696"/>
        <c:scaling>
          <c:orientation val="maxMin"/>
        </c:scaling>
        <c:delete val="0"/>
        <c:axPos val="l"/>
        <c:majorTickMark val="none"/>
        <c:minorTickMark val="none"/>
        <c:tickLblPos val="high"/>
        <c:txPr>
          <a:bodyPr/>
          <a:lstStyle/>
          <a:p>
            <a:pPr>
              <a:defRPr sz="800" b="1">
                <a:latin typeface="Arial" pitchFamily="34" charset="0"/>
                <a:cs typeface="Arial" pitchFamily="34" charset="0"/>
              </a:defRPr>
            </a:pPr>
            <a:endParaRPr lang="fr-FR"/>
          </a:p>
        </c:txPr>
        <c:crossAx val="556532480"/>
        <c:crosses val="autoZero"/>
        <c:auto val="0"/>
        <c:lblAlgn val="ctr"/>
        <c:lblOffset val="100"/>
        <c:tickLblSkip val="1"/>
        <c:noMultiLvlLbl val="0"/>
      </c:catAx>
      <c:valAx>
        <c:axId val="556532480"/>
        <c:scaling>
          <c:orientation val="minMax"/>
        </c:scaling>
        <c:delete val="0"/>
        <c:axPos val="t"/>
        <c:numFmt formatCode="0.00%" sourceLinked="1"/>
        <c:majorTickMark val="out"/>
        <c:minorTickMark val="none"/>
        <c:tickLblPos val="none"/>
        <c:spPr>
          <a:noFill/>
          <a:ln>
            <a:noFill/>
          </a:ln>
        </c:spPr>
        <c:crossAx val="556317696"/>
        <c:crosses val="autoZero"/>
        <c:crossBetween val="between"/>
      </c:valAx>
      <c:spPr>
        <a:noFill/>
        <a:ln>
          <a:noFill/>
        </a:ln>
      </c:spPr>
    </c:plotArea>
    <c:plotVisOnly val="1"/>
    <c:dispBlanksAs val="gap"/>
    <c:showDLblsOverMax val="0"/>
  </c:chart>
  <c:spPr>
    <a:noFill/>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8040077383770768"/>
          <c:y val="4.0239814315004292E-2"/>
          <c:w val="0.45563499016636377"/>
          <c:h val="0.87301875803284057"/>
        </c:manualLayout>
      </c:layout>
      <c:barChart>
        <c:barDir val="bar"/>
        <c:grouping val="clustered"/>
        <c:varyColors val="0"/>
        <c:ser>
          <c:idx val="0"/>
          <c:order val="0"/>
          <c:spPr>
            <a:solidFill>
              <a:srgbClr val="00647F"/>
            </a:solidFill>
          </c:spPr>
          <c:invertIfNegative val="0"/>
          <c:dLbls>
            <c:numFmt formatCode="0.0%" sourceLinked="0"/>
            <c:showLegendKey val="0"/>
            <c:showVal val="1"/>
            <c:showCatName val="0"/>
            <c:showSerName val="0"/>
            <c:showPercent val="0"/>
            <c:showBubbleSize val="0"/>
            <c:showLeaderLines val="0"/>
          </c:dLbls>
          <c:cat>
            <c:strRef>
              <c:f>Données!$G$6:$G$46</c:f>
              <c:strCache>
                <c:ptCount val="18"/>
                <c:pt idx="0">
                  <c:v> </c:v>
                </c:pt>
                <c:pt idx="1">
                  <c:v>Media</c:v>
                </c:pt>
                <c:pt idx="2">
                  <c:v>Basic Resources</c:v>
                </c:pt>
                <c:pt idx="3">
                  <c:v>Energy</c:v>
                </c:pt>
                <c:pt idx="4">
                  <c:v>Financial Services</c:v>
                </c:pt>
                <c:pt idx="5">
                  <c:v>Construction and Materials</c:v>
                </c:pt>
                <c:pt idx="6">
                  <c:v>Retail</c:v>
                </c:pt>
                <c:pt idx="7">
                  <c:v>Chemicals</c:v>
                </c:pt>
                <c:pt idx="8">
                  <c:v>Technology</c:v>
                </c:pt>
                <c:pt idx="9">
                  <c:v>Food, Beverage and Tobacco</c:v>
                </c:pt>
                <c:pt idx="10">
                  <c:v>Real Estate</c:v>
                </c:pt>
                <c:pt idx="11">
                  <c:v>Utilities</c:v>
                </c:pt>
                <c:pt idx="12">
                  <c:v>Automobiles and Parts</c:v>
                </c:pt>
                <c:pt idx="13">
                  <c:v>Travel and Leisure</c:v>
                </c:pt>
                <c:pt idx="14">
                  <c:v>Industrial Goods and Services</c:v>
                </c:pt>
                <c:pt idx="15">
                  <c:v>Consumer Products and Services</c:v>
                </c:pt>
                <c:pt idx="16">
                  <c:v>Health Care</c:v>
                </c:pt>
                <c:pt idx="17">
                  <c:v>Telecommunications</c:v>
                </c:pt>
              </c:strCache>
            </c:strRef>
          </c:cat>
          <c:val>
            <c:numRef>
              <c:f>Données!$H$6:$H$46</c:f>
              <c:numCache>
                <c:formatCode>0\,000%</c:formatCode>
                <c:ptCount val="41"/>
                <c:pt idx="0">
                  <c:v>-0.15222859999999999</c:v>
                </c:pt>
                <c:pt idx="1">
                  <c:v>4.6805199999999996E-3</c:v>
                </c:pt>
                <c:pt idx="2">
                  <c:v>7.6353499999999999E-3</c:v>
                </c:pt>
                <c:pt idx="3">
                  <c:v>9.9149500000000005E-3</c:v>
                </c:pt>
                <c:pt idx="4">
                  <c:v>1.0427769999999999E-2</c:v>
                </c:pt>
                <c:pt idx="5">
                  <c:v>1.473555E-2</c:v>
                </c:pt>
                <c:pt idx="6">
                  <c:v>2.085002E-2</c:v>
                </c:pt>
                <c:pt idx="7">
                  <c:v>3.206432E-2</c:v>
                </c:pt>
                <c:pt idx="8">
                  <c:v>3.3748889999999997E-2</c:v>
                </c:pt>
                <c:pt idx="9">
                  <c:v>4.3709369999999997E-2</c:v>
                </c:pt>
                <c:pt idx="10">
                  <c:v>5.646292E-2</c:v>
                </c:pt>
                <c:pt idx="11">
                  <c:v>6.7986770000000002E-2</c:v>
                </c:pt>
                <c:pt idx="12">
                  <c:v>6.9753179999999998E-2</c:v>
                </c:pt>
                <c:pt idx="13">
                  <c:v>7.9007149999999998E-2</c:v>
                </c:pt>
                <c:pt idx="14">
                  <c:v>8.0080970000000001E-2</c:v>
                </c:pt>
                <c:pt idx="15">
                  <c:v>0.10952582</c:v>
                </c:pt>
                <c:pt idx="16">
                  <c:v>0.11226354</c:v>
                </c:pt>
                <c:pt idx="17">
                  <c:v>0.15087717</c:v>
                </c:pt>
              </c:numCache>
            </c:numRef>
          </c:val>
        </c:ser>
        <c:dLbls>
          <c:showLegendKey val="0"/>
          <c:showVal val="0"/>
          <c:showCatName val="0"/>
          <c:showSerName val="0"/>
          <c:showPercent val="0"/>
          <c:showBubbleSize val="0"/>
        </c:dLbls>
        <c:gapWidth val="150"/>
        <c:axId val="556570496"/>
        <c:axId val="556572032"/>
      </c:barChart>
      <c:catAx>
        <c:axId val="556570496"/>
        <c:scaling>
          <c:orientation val="minMax"/>
        </c:scaling>
        <c:delete val="0"/>
        <c:axPos val="l"/>
        <c:numFmt formatCode="General" sourceLinked="1"/>
        <c:majorTickMark val="out"/>
        <c:minorTickMark val="none"/>
        <c:tickLblPos val="nextTo"/>
        <c:crossAx val="556572032"/>
        <c:crosses val="autoZero"/>
        <c:auto val="1"/>
        <c:lblAlgn val="ctr"/>
        <c:lblOffset val="100"/>
        <c:noMultiLvlLbl val="0"/>
      </c:catAx>
      <c:valAx>
        <c:axId val="556572032"/>
        <c:scaling>
          <c:orientation val="minMax"/>
          <c:min val="0"/>
        </c:scaling>
        <c:delete val="0"/>
        <c:axPos val="b"/>
        <c:numFmt formatCode="0%" sourceLinked="0"/>
        <c:majorTickMark val="out"/>
        <c:minorTickMark val="none"/>
        <c:tickLblPos val="nextTo"/>
        <c:crossAx val="556570496"/>
        <c:crosses val="autoZero"/>
        <c:crossBetween val="between"/>
        <c:majorUnit val="0.1"/>
      </c:valAx>
      <c:spPr>
        <a:noFill/>
        <a:ln>
          <a:noFill/>
        </a:ln>
      </c:spPr>
    </c:plotArea>
    <c:plotVisOnly val="1"/>
    <c:dispBlanksAs val="gap"/>
    <c:showDLblsOverMax val="0"/>
  </c:chart>
  <c:spPr>
    <a:noFill/>
    <a:ln>
      <a:noFill/>
    </a:ln>
  </c:spPr>
  <c:txPr>
    <a:bodyPr/>
    <a:lstStyle/>
    <a:p>
      <a:pPr>
        <a:defRPr sz="1050">
          <a:latin typeface="Arial" pitchFamily="34" charset="0"/>
          <a:cs typeface="Arial"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8040077383770768"/>
          <c:y val="4.0239814315004292E-2"/>
          <c:w val="0.45563499016636377"/>
          <c:h val="0.87301875803284057"/>
        </c:manualLayout>
      </c:layout>
      <c:barChart>
        <c:barDir val="bar"/>
        <c:grouping val="clustered"/>
        <c:varyColors val="0"/>
        <c:ser>
          <c:idx val="0"/>
          <c:order val="0"/>
          <c:spPr>
            <a:solidFill>
              <a:srgbClr val="00647F"/>
            </a:solidFill>
          </c:spPr>
          <c:invertIfNegative val="0"/>
          <c:dLbls>
            <c:numFmt formatCode="0.0%" sourceLinked="0"/>
            <c:showLegendKey val="0"/>
            <c:showVal val="1"/>
            <c:showCatName val="0"/>
            <c:showSerName val="0"/>
            <c:showPercent val="0"/>
            <c:showBubbleSize val="0"/>
            <c:showLeaderLines val="0"/>
          </c:dLbls>
          <c:cat>
            <c:numRef>
              <c:f>Données!$L$7:$L$47</c:f>
              <c:numCache>
                <c:formatCode>General</c:formatCode>
                <c:ptCount val="41"/>
              </c:numCache>
            </c:numRef>
          </c:cat>
          <c:val>
            <c:numRef>
              <c:f>Données!$M$7:$M$47</c:f>
              <c:numCache>
                <c:formatCode>@</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556895232"/>
        <c:axId val="556909312"/>
      </c:barChart>
      <c:catAx>
        <c:axId val="556895232"/>
        <c:scaling>
          <c:orientation val="minMax"/>
        </c:scaling>
        <c:delete val="0"/>
        <c:axPos val="l"/>
        <c:numFmt formatCode="General" sourceLinked="1"/>
        <c:majorTickMark val="out"/>
        <c:minorTickMark val="none"/>
        <c:tickLblPos val="nextTo"/>
        <c:crossAx val="556909312"/>
        <c:crosses val="autoZero"/>
        <c:auto val="1"/>
        <c:lblAlgn val="ctr"/>
        <c:lblOffset val="100"/>
        <c:noMultiLvlLbl val="0"/>
      </c:catAx>
      <c:valAx>
        <c:axId val="556909312"/>
        <c:scaling>
          <c:orientation val="minMax"/>
          <c:min val="0"/>
        </c:scaling>
        <c:delete val="0"/>
        <c:axPos val="b"/>
        <c:numFmt formatCode="0%" sourceLinked="0"/>
        <c:majorTickMark val="out"/>
        <c:minorTickMark val="none"/>
        <c:tickLblPos val="nextTo"/>
        <c:crossAx val="556895232"/>
        <c:crosses val="autoZero"/>
        <c:crossBetween val="between"/>
        <c:majorUnit val="0.1"/>
      </c:valAx>
      <c:spPr>
        <a:noFill/>
        <a:ln>
          <a:noFill/>
        </a:ln>
      </c:spPr>
    </c:plotArea>
    <c:plotVisOnly val="1"/>
    <c:dispBlanksAs val="gap"/>
    <c:showDLblsOverMax val="0"/>
  </c:chart>
  <c:spPr>
    <a:noFill/>
    <a:ln>
      <a:noFill/>
    </a:ln>
  </c:spPr>
  <c:txPr>
    <a:bodyPr/>
    <a:lstStyle/>
    <a:p>
      <a:pPr>
        <a:defRPr sz="1050">
          <a:latin typeface="Arial" pitchFamily="34" charset="0"/>
          <a:cs typeface="Arial"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281756274343714"/>
          <c:y val="4.0239814315004292E-2"/>
          <c:w val="0.81321807117466816"/>
          <c:h val="0.78846447115747642"/>
        </c:manualLayout>
      </c:layout>
      <c:barChart>
        <c:barDir val="col"/>
        <c:grouping val="clustered"/>
        <c:varyColors val="0"/>
        <c:ser>
          <c:idx val="0"/>
          <c:order val="0"/>
          <c:spPr>
            <a:solidFill>
              <a:srgbClr val="00647F"/>
            </a:solidFill>
          </c:spPr>
          <c:invertIfNegative val="0"/>
          <c:dLbls>
            <c:numFmt formatCode="0.0%" sourceLinked="0"/>
            <c:showLegendKey val="0"/>
            <c:showVal val="1"/>
            <c:showCatName val="0"/>
            <c:showSerName val="0"/>
            <c:showPercent val="0"/>
            <c:showBubbleSize val="0"/>
            <c:showLeaderLines val="0"/>
          </c:dLbls>
          <c:cat>
            <c:numRef>
              <c:f>Données!$O$7:$O$42</c:f>
              <c:numCache>
                <c:formatCode>General</c:formatCode>
                <c:ptCount val="36"/>
              </c:numCache>
            </c:numRef>
          </c:cat>
          <c:val>
            <c:numRef>
              <c:f>Données!$P$7:$P$42</c:f>
              <c:numCache>
                <c:formatCode>General</c:formatCode>
                <c:ptCount val="36"/>
              </c:numCache>
            </c:numRef>
          </c:val>
        </c:ser>
        <c:dLbls>
          <c:showLegendKey val="0"/>
          <c:showVal val="0"/>
          <c:showCatName val="0"/>
          <c:showSerName val="0"/>
          <c:showPercent val="0"/>
          <c:showBubbleSize val="0"/>
        </c:dLbls>
        <c:gapWidth val="150"/>
        <c:axId val="556915328"/>
        <c:axId val="556933504"/>
      </c:barChart>
      <c:catAx>
        <c:axId val="556915328"/>
        <c:scaling>
          <c:orientation val="minMax"/>
        </c:scaling>
        <c:delete val="0"/>
        <c:axPos val="b"/>
        <c:numFmt formatCode="General" sourceLinked="1"/>
        <c:majorTickMark val="out"/>
        <c:minorTickMark val="none"/>
        <c:tickLblPos val="nextTo"/>
        <c:txPr>
          <a:bodyPr/>
          <a:lstStyle/>
          <a:p>
            <a:pPr>
              <a:defRPr sz="900"/>
            </a:pPr>
            <a:endParaRPr lang="fr-FR"/>
          </a:p>
        </c:txPr>
        <c:crossAx val="556933504"/>
        <c:crosses val="autoZero"/>
        <c:auto val="1"/>
        <c:lblAlgn val="ctr"/>
        <c:lblOffset val="100"/>
        <c:noMultiLvlLbl val="0"/>
      </c:catAx>
      <c:valAx>
        <c:axId val="556933504"/>
        <c:scaling>
          <c:orientation val="minMax"/>
          <c:min val="0"/>
        </c:scaling>
        <c:delete val="0"/>
        <c:axPos val="l"/>
        <c:numFmt formatCode="0%" sourceLinked="0"/>
        <c:majorTickMark val="out"/>
        <c:minorTickMark val="none"/>
        <c:tickLblPos val="nextTo"/>
        <c:crossAx val="556915328"/>
        <c:crosses val="autoZero"/>
        <c:crossBetween val="between"/>
        <c:majorUnit val="0.1"/>
      </c:valAx>
      <c:spPr>
        <a:noFill/>
        <a:ln>
          <a:noFill/>
        </a:ln>
      </c:spPr>
    </c:plotArea>
    <c:plotVisOnly val="1"/>
    <c:dispBlanksAs val="gap"/>
    <c:showDLblsOverMax val="0"/>
  </c:chart>
  <c:spPr>
    <a:noFill/>
    <a:ln>
      <a:noFill/>
    </a:ln>
  </c:spPr>
  <c:txPr>
    <a:bodyPr/>
    <a:lstStyle/>
    <a:p>
      <a:pPr>
        <a:defRPr sz="1050">
          <a:latin typeface="Arial" pitchFamily="34" charset="0"/>
          <a:cs typeface="Arial"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6"/>
    </mc:Choice>
    <mc:Fallback>
      <c:style val="26"/>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281777122644032"/>
          <c:y val="4.0239814315004292E-2"/>
          <c:w val="0.81321811556777934"/>
          <c:h val="0.80726789249180864"/>
        </c:manualLayout>
      </c:layout>
      <c:barChart>
        <c:barDir val="col"/>
        <c:grouping val="clustered"/>
        <c:varyColors val="0"/>
        <c:ser>
          <c:idx val="0"/>
          <c:order val="0"/>
          <c:spPr>
            <a:solidFill>
              <a:srgbClr val="00647F"/>
            </a:solidFill>
          </c:spPr>
          <c:invertIfNegative val="0"/>
          <c:dLbls>
            <c:numFmt formatCode="0.0%" sourceLinked="0"/>
            <c:showLegendKey val="0"/>
            <c:showVal val="1"/>
            <c:showCatName val="0"/>
            <c:showSerName val="0"/>
            <c:showPercent val="0"/>
            <c:showBubbleSize val="0"/>
            <c:showLeaderLines val="0"/>
          </c:dLbls>
          <c:cat>
            <c:numRef>
              <c:f>Données!$Z$7:$Z$11</c:f>
              <c:numCache>
                <c:formatCode>General</c:formatCode>
                <c:ptCount val="5"/>
              </c:numCache>
            </c:numRef>
          </c:cat>
          <c:val>
            <c:numRef>
              <c:f>Données!$AA$7:$AA$11</c:f>
              <c:numCache>
                <c:formatCode>General</c:formatCode>
                <c:ptCount val="5"/>
              </c:numCache>
            </c:numRef>
          </c:val>
        </c:ser>
        <c:dLbls>
          <c:showLegendKey val="0"/>
          <c:showVal val="0"/>
          <c:showCatName val="0"/>
          <c:showSerName val="0"/>
          <c:showPercent val="0"/>
          <c:showBubbleSize val="0"/>
        </c:dLbls>
        <c:gapWidth val="150"/>
        <c:axId val="556986368"/>
        <c:axId val="556987904"/>
      </c:barChart>
      <c:catAx>
        <c:axId val="556986368"/>
        <c:scaling>
          <c:orientation val="minMax"/>
        </c:scaling>
        <c:delete val="0"/>
        <c:axPos val="b"/>
        <c:numFmt formatCode="General" sourceLinked="1"/>
        <c:majorTickMark val="out"/>
        <c:minorTickMark val="none"/>
        <c:tickLblPos val="nextTo"/>
        <c:txPr>
          <a:bodyPr/>
          <a:lstStyle/>
          <a:p>
            <a:pPr>
              <a:defRPr sz="900"/>
            </a:pPr>
            <a:endParaRPr lang="fr-FR"/>
          </a:p>
        </c:txPr>
        <c:crossAx val="556987904"/>
        <c:crosses val="autoZero"/>
        <c:auto val="1"/>
        <c:lblAlgn val="ctr"/>
        <c:lblOffset val="100"/>
        <c:noMultiLvlLbl val="0"/>
      </c:catAx>
      <c:valAx>
        <c:axId val="556987904"/>
        <c:scaling>
          <c:orientation val="minMax"/>
          <c:min val="0"/>
        </c:scaling>
        <c:delete val="0"/>
        <c:axPos val="l"/>
        <c:numFmt formatCode="0%" sourceLinked="0"/>
        <c:majorTickMark val="out"/>
        <c:minorTickMark val="none"/>
        <c:tickLblPos val="nextTo"/>
        <c:crossAx val="556986368"/>
        <c:crosses val="autoZero"/>
        <c:crossBetween val="between"/>
        <c:majorUnit val="0.1"/>
      </c:valAx>
      <c:spPr>
        <a:noFill/>
        <a:ln>
          <a:noFill/>
        </a:ln>
      </c:spPr>
    </c:plotArea>
    <c:plotVisOnly val="1"/>
    <c:dispBlanksAs val="gap"/>
    <c:showDLblsOverMax val="0"/>
  </c:chart>
  <c:spPr>
    <a:noFill/>
    <a:ln>
      <a:noFill/>
    </a:ln>
  </c:spPr>
  <c:txPr>
    <a:bodyPr/>
    <a:lstStyle/>
    <a:p>
      <a:pPr>
        <a:defRPr sz="1050">
          <a:latin typeface="Arial" pitchFamily="34" charset="0"/>
          <a:cs typeface="Arial"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27"/>
    </mc:Choice>
    <mc:Fallback>
      <c:style val="27"/>
    </mc:Fallback>
  </mc:AlternateContent>
  <c:chart>
    <c:autoTitleDeleted val="0"/>
    <c:plotArea>
      <c:layout>
        <c:manualLayout>
          <c:layoutTarget val="inner"/>
          <c:xMode val="edge"/>
          <c:yMode val="edge"/>
          <c:x val="7.7541489931870156E-2"/>
          <c:y val="2.6968211041161823E-2"/>
          <c:w val="0.91571136909558848"/>
          <c:h val="0.86554785684865487"/>
        </c:manualLayout>
      </c:layout>
      <c:barChart>
        <c:barDir val="col"/>
        <c:grouping val="clustered"/>
        <c:varyColors val="0"/>
        <c:ser>
          <c:idx val="0"/>
          <c:order val="0"/>
          <c:spPr>
            <a:solidFill>
              <a:srgbClr val="00647F"/>
            </a:solidFill>
          </c:spPr>
          <c:invertIfNegative val="0"/>
          <c:dLbls>
            <c:numFmt formatCode="0.0%" sourceLinked="0"/>
            <c:showLegendKey val="0"/>
            <c:showVal val="1"/>
            <c:showCatName val="0"/>
            <c:showSerName val="0"/>
            <c:showPercent val="0"/>
            <c:showBubbleSize val="0"/>
            <c:showLeaderLines val="0"/>
          </c:dLbls>
          <c:cat>
            <c:strRef>
              <c:f>Données!$AD$7</c:f>
              <c:strCache>
                <c:ptCount val="1"/>
                <c:pt idx="0">
                  <c:v>1 - 3 years</c:v>
                </c:pt>
              </c:strCache>
            </c:strRef>
          </c:cat>
          <c:val>
            <c:numRef>
              <c:f>Données!$AE$7</c:f>
              <c:numCache>
                <c:formatCode>0\,000%</c:formatCode>
                <c:ptCount val="1"/>
                <c:pt idx="0">
                  <c:v>0.11459533</c:v>
                </c:pt>
              </c:numCache>
            </c:numRef>
          </c:val>
        </c:ser>
        <c:dLbls>
          <c:showLegendKey val="0"/>
          <c:showVal val="0"/>
          <c:showCatName val="0"/>
          <c:showSerName val="0"/>
          <c:showPercent val="0"/>
          <c:showBubbleSize val="0"/>
        </c:dLbls>
        <c:gapWidth val="150"/>
        <c:axId val="557331968"/>
        <c:axId val="557333504"/>
      </c:barChart>
      <c:catAx>
        <c:axId val="557331968"/>
        <c:scaling>
          <c:orientation val="minMax"/>
        </c:scaling>
        <c:delete val="0"/>
        <c:axPos val="b"/>
        <c:numFmt formatCode="General" sourceLinked="1"/>
        <c:majorTickMark val="out"/>
        <c:minorTickMark val="none"/>
        <c:tickLblPos val="nextTo"/>
        <c:crossAx val="557333504"/>
        <c:crosses val="autoZero"/>
        <c:auto val="1"/>
        <c:lblAlgn val="ctr"/>
        <c:lblOffset val="100"/>
        <c:noMultiLvlLbl val="0"/>
      </c:catAx>
      <c:valAx>
        <c:axId val="557333504"/>
        <c:scaling>
          <c:orientation val="minMax"/>
        </c:scaling>
        <c:delete val="0"/>
        <c:axPos val="l"/>
        <c:numFmt formatCode="0%" sourceLinked="0"/>
        <c:majorTickMark val="out"/>
        <c:minorTickMark val="none"/>
        <c:tickLblPos val="nextTo"/>
        <c:crossAx val="557331968"/>
        <c:crosses val="autoZero"/>
        <c:crossBetween val="between"/>
      </c:valAx>
      <c:spPr>
        <a:noFill/>
        <a:ln>
          <a:noFill/>
        </a:ln>
      </c:spPr>
    </c:plotArea>
    <c:plotVisOnly val="1"/>
    <c:dispBlanksAs val="gap"/>
    <c:showDLblsOverMax val="0"/>
  </c:chart>
  <c:spPr>
    <a:noFill/>
    <a:ln>
      <a:noFill/>
    </a:ln>
  </c:spPr>
  <c:txPr>
    <a:bodyPr/>
    <a:lstStyle/>
    <a:p>
      <a:pPr>
        <a:defRPr sz="1000">
          <a:latin typeface="Arial" pitchFamily="34" charset="0"/>
          <a:cs typeface="Arial"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199503239728618E-2"/>
          <c:y val="3.3751526983549621E-2"/>
          <c:w val="0.87682141197160623"/>
          <c:h val="0.85772833320377417"/>
        </c:manualLayout>
      </c:layout>
      <c:scatterChart>
        <c:scatterStyle val="lineMarker"/>
        <c:varyColors val="0"/>
        <c:ser>
          <c:idx val="0"/>
          <c:order val="0"/>
          <c:tx>
            <c:strRef>
              <c:f>'Graph Perf'!$B$4</c:f>
              <c:strCache>
                <c:ptCount val="1"/>
              </c:strCache>
            </c:strRef>
          </c:tx>
          <c:spPr>
            <a:ln w="19050">
              <a:solidFill>
                <a:srgbClr val="00508C"/>
              </a:solidFill>
            </a:ln>
          </c:spPr>
          <c:marker>
            <c:symbol val="none"/>
          </c:marker>
          <c:xVal>
            <c:numRef>
              <c:f>'Graph Perf'!$A$5:$A$32</c:f>
              <c:numCache>
                <c:formatCode>General</c:formatCode>
                <c:ptCount val="28"/>
              </c:numCache>
            </c:numRef>
          </c:xVal>
          <c:yVal>
            <c:numRef>
              <c:f>'Graph Perf'!$B$5:$B$32</c:f>
              <c:numCache>
                <c:formatCode>General</c:formatCode>
                <c:ptCount val="28"/>
              </c:numCache>
            </c:numRef>
          </c:yVal>
          <c:smooth val="0"/>
        </c:ser>
        <c:ser>
          <c:idx val="1"/>
          <c:order val="1"/>
          <c:tx>
            <c:strRef>
              <c:f>'Graph Perf'!$C$4</c:f>
              <c:strCache>
                <c:ptCount val="1"/>
              </c:strCache>
            </c:strRef>
          </c:tx>
          <c:spPr>
            <a:ln w="19050">
              <a:solidFill>
                <a:srgbClr val="AAAFB4"/>
              </a:solidFill>
            </a:ln>
          </c:spPr>
          <c:marker>
            <c:symbol val="none"/>
          </c:marker>
          <c:xVal>
            <c:numRef>
              <c:f>'Graph Perf'!$A$5:$A$32</c:f>
              <c:numCache>
                <c:formatCode>General</c:formatCode>
                <c:ptCount val="28"/>
              </c:numCache>
            </c:numRef>
          </c:xVal>
          <c:yVal>
            <c:numRef>
              <c:f>'Graph Perf'!$C$5:$C$32</c:f>
              <c:numCache>
                <c:formatCode>General</c:formatCode>
                <c:ptCount val="28"/>
              </c:numCache>
            </c:numRef>
          </c:yVal>
          <c:smooth val="0"/>
        </c:ser>
        <c:dLbls>
          <c:showLegendKey val="0"/>
          <c:showVal val="0"/>
          <c:showCatName val="0"/>
          <c:showSerName val="0"/>
          <c:showPercent val="0"/>
          <c:showBubbleSize val="0"/>
        </c:dLbls>
        <c:axId val="557182336"/>
        <c:axId val="557188224"/>
      </c:scatterChart>
      <c:valAx>
        <c:axId val="557182336"/>
        <c:scaling>
          <c:orientation val="minMax"/>
          <c:max val="41213"/>
          <c:min val="39388"/>
        </c:scaling>
        <c:delete val="0"/>
        <c:axPos val="b"/>
        <c:numFmt formatCode="dd/mm/yy;@" sourceLinked="0"/>
        <c:majorTickMark val="out"/>
        <c:minorTickMark val="none"/>
        <c:tickLblPos val="nextTo"/>
        <c:txPr>
          <a:bodyPr/>
          <a:lstStyle/>
          <a:p>
            <a:pPr>
              <a:defRPr sz="900"/>
            </a:pPr>
            <a:endParaRPr lang="fr-FR"/>
          </a:p>
        </c:txPr>
        <c:crossAx val="557188224"/>
        <c:crosses val="autoZero"/>
        <c:crossBetween val="midCat"/>
        <c:majorUnit val="365"/>
      </c:valAx>
      <c:valAx>
        <c:axId val="557188224"/>
        <c:scaling>
          <c:orientation val="minMax"/>
          <c:min val="40"/>
        </c:scaling>
        <c:delete val="0"/>
        <c:axPos val="l"/>
        <c:numFmt formatCode="General" sourceLinked="1"/>
        <c:majorTickMark val="out"/>
        <c:minorTickMark val="none"/>
        <c:tickLblPos val="nextTo"/>
        <c:txPr>
          <a:bodyPr/>
          <a:lstStyle/>
          <a:p>
            <a:pPr>
              <a:defRPr sz="900"/>
            </a:pPr>
            <a:endParaRPr lang="fr-FR"/>
          </a:p>
        </c:txPr>
        <c:crossAx val="557182336"/>
        <c:crosses val="autoZero"/>
        <c:crossBetween val="midCat"/>
      </c:valAx>
      <c:spPr>
        <a:noFill/>
        <a:ln>
          <a:noFill/>
        </a:ln>
      </c:spPr>
    </c:plotArea>
    <c:legend>
      <c:legendPos val="r"/>
      <c:layout>
        <c:manualLayout>
          <c:xMode val="edge"/>
          <c:yMode val="edge"/>
          <c:x val="0.24379317683389759"/>
          <c:y val="2.1439412350741885E-2"/>
          <c:w val="0.31540302871490694"/>
          <c:h val="0.13951068928721455"/>
        </c:manualLayout>
      </c:layout>
      <c:overlay val="1"/>
    </c:legend>
    <c:plotVisOnly val="1"/>
    <c:dispBlanksAs val="gap"/>
    <c:showDLblsOverMax val="0"/>
  </c:chart>
  <c:spPr>
    <a:noFill/>
    <a:ln>
      <a:noFill/>
    </a:ln>
  </c:spPr>
  <c:txPr>
    <a:bodyPr/>
    <a:lstStyle/>
    <a:p>
      <a:pPr>
        <a:defRPr>
          <a:latin typeface="Arial" pitchFamily="34" charset="0"/>
          <a:cs typeface="Arial"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4.png"/><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31</xdr:col>
      <xdr:colOff>51953</xdr:colOff>
      <xdr:row>16</xdr:row>
      <xdr:rowOff>81643</xdr:rowOff>
    </xdr:from>
    <xdr:to>
      <xdr:col>42</xdr:col>
      <xdr:colOff>238125</xdr:colOff>
      <xdr:row>20</xdr:row>
      <xdr:rowOff>173761</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47625</xdr:colOff>
      <xdr:row>24</xdr:row>
      <xdr:rowOff>68036</xdr:rowOff>
    </xdr:from>
    <xdr:to>
      <xdr:col>42</xdr:col>
      <xdr:colOff>233797</xdr:colOff>
      <xdr:row>28</xdr:row>
      <xdr:rowOff>148650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168649</xdr:colOff>
      <xdr:row>9</xdr:row>
      <xdr:rowOff>16459</xdr:rowOff>
    </xdr:from>
    <xdr:to>
      <xdr:col>8</xdr:col>
      <xdr:colOff>168648</xdr:colOff>
      <xdr:row>10</xdr:row>
      <xdr:rowOff>12887</xdr:rowOff>
    </xdr:to>
    <xdr:pic>
      <xdr:nvPicPr>
        <xdr:cNvPr id="3" name="Imag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65002" y="1730959"/>
          <a:ext cx="313764" cy="186928"/>
        </a:xfrm>
        <a:prstGeom prst="rect">
          <a:avLst/>
        </a:prstGeom>
      </xdr:spPr>
    </xdr:pic>
    <xdr:clientData/>
  </xdr:twoCellAnchor>
  <xdr:twoCellAnchor editAs="oneCell">
    <xdr:from>
      <xdr:col>10</xdr:col>
      <xdr:colOff>151840</xdr:colOff>
      <xdr:row>9</xdr:row>
      <xdr:rowOff>12887</xdr:rowOff>
    </xdr:from>
    <xdr:to>
      <xdr:col>11</xdr:col>
      <xdr:colOff>127461</xdr:colOff>
      <xdr:row>10</xdr:row>
      <xdr:rowOff>12887</xdr:rowOff>
    </xdr:to>
    <xdr:pic>
      <xdr:nvPicPr>
        <xdr:cNvPr id="4" name="Imag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89487" y="1727387"/>
          <a:ext cx="289386" cy="190500"/>
        </a:xfrm>
        <a:prstGeom prst="rect">
          <a:avLst/>
        </a:prstGeom>
      </xdr:spPr>
    </xdr:pic>
    <xdr:clientData/>
  </xdr:twoCellAnchor>
  <xdr:twoCellAnchor>
    <xdr:from>
      <xdr:col>30</xdr:col>
      <xdr:colOff>234625</xdr:colOff>
      <xdr:row>0</xdr:row>
      <xdr:rowOff>126767</xdr:rowOff>
    </xdr:from>
    <xdr:to>
      <xdr:col>34</xdr:col>
      <xdr:colOff>54624</xdr:colOff>
      <xdr:row>4</xdr:row>
      <xdr:rowOff>77071</xdr:rowOff>
    </xdr:to>
    <xdr:pic>
      <xdr:nvPicPr>
        <xdr:cNvPr id="12" name="Image 11" descr="Résultat d’images pour logo label isr">
          <a:extLst>
            <a:ext uri="{FF2B5EF4-FFF2-40B4-BE49-F238E27FC236}">
              <a16:creationId xmlns="" xmlns:a16="http://schemas.microsoft.com/office/drawing/2014/main" id="{97DD8C67-B791-4717-8ECB-C412E25F254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47566" y="126767"/>
          <a:ext cx="1075058" cy="712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279448</xdr:colOff>
      <xdr:row>0</xdr:row>
      <xdr:rowOff>59532</xdr:rowOff>
    </xdr:from>
    <xdr:to>
      <xdr:col>42</xdr:col>
      <xdr:colOff>76861</xdr:colOff>
      <xdr:row>3</xdr:row>
      <xdr:rowOff>186532</xdr:rowOff>
    </xdr:to>
    <xdr:pic>
      <xdr:nvPicPr>
        <xdr:cNvPr id="11" name="Image 10">
          <a:extLst>
            <a:ext uri="{FF2B5EF4-FFF2-40B4-BE49-F238E27FC236}">
              <a16:creationId xmlns="" xmlns:a16="http://schemas.microsoft.com/office/drawing/2014/main" id="{F3738E9D-01C1-46A2-83F4-8D1F502E2F9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261213" y="59532"/>
          <a:ext cx="1993766"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68036</xdr:colOff>
      <xdr:row>7</xdr:row>
      <xdr:rowOff>54429</xdr:rowOff>
    </xdr:from>
    <xdr:to>
      <xdr:col>42</xdr:col>
      <xdr:colOff>244929</xdr:colOff>
      <xdr:row>46</xdr:row>
      <xdr:rowOff>178595</xdr:rowOff>
    </xdr:to>
    <xdr:sp macro="" textlink="">
      <xdr:nvSpPr>
        <xdr:cNvPr id="5" name="Text Box 1027"/>
        <xdr:cNvSpPr txBox="1">
          <a:spLocks noChangeArrowheads="1"/>
        </xdr:cNvSpPr>
      </xdr:nvSpPr>
      <xdr:spPr bwMode="auto">
        <a:xfrm>
          <a:off x="7497536" y="1387929"/>
          <a:ext cx="5749018" cy="7553666"/>
        </a:xfrm>
        <a:prstGeom prst="rect">
          <a:avLst/>
        </a:prstGeom>
        <a:noFill/>
        <a:ln w="9525">
          <a:noFill/>
          <a:miter lim="800000"/>
          <a:headEnd/>
          <a:tailEnd/>
        </a:ln>
      </xdr:spPr>
      <xdr:txBody>
        <a:bodyPr vertOverflow="clip" wrap="square" lIns="27432" tIns="22860" rIns="27432" bIns="0" anchor="t" upright="1"/>
        <a:lstStyle/>
        <a:p>
          <a:pPr algn="just"/>
          <a:r>
            <a:rPr lang="fr-FR" sz="1100">
              <a:effectLst/>
              <a:latin typeface="Arial" pitchFamily="34" charset="0"/>
              <a:ea typeface="+mn-ea"/>
              <a:cs typeface="Arial" pitchFamily="34" charset="0"/>
            </a:rPr>
            <a:t>Commentaire de Gestion</a:t>
          </a:r>
          <a:endParaRPr lang="fr-FR" sz="1100">
            <a:effectLst/>
            <a:latin typeface="Arial" pitchFamily="34" charset="0"/>
            <a:cs typeface="Arial" pitchFamily="34" charset="0"/>
          </a:endParaRPr>
        </a:p>
      </xdr:txBody>
    </xdr:sp>
    <xdr:clientData/>
  </xdr:twoCellAnchor>
  <xdr:twoCellAnchor editAs="oneCell">
    <xdr:from>
      <xdr:col>35</xdr:col>
      <xdr:colOff>9525</xdr:colOff>
      <xdr:row>0</xdr:row>
      <xdr:rowOff>152400</xdr:rowOff>
    </xdr:from>
    <xdr:to>
      <xdr:col>41</xdr:col>
      <xdr:colOff>117341</xdr:colOff>
      <xdr:row>4</xdr:row>
      <xdr:rowOff>88900</xdr:rowOff>
    </xdr:to>
    <xdr:pic>
      <xdr:nvPicPr>
        <xdr:cNvPr id="4" name="Image 3">
          <a:extLst>
            <a:ext uri="{FF2B5EF4-FFF2-40B4-BE49-F238E27FC236}">
              <a16:creationId xmlns="" xmlns:a16="http://schemas.microsoft.com/office/drawing/2014/main" id="{F3738E9D-01C1-46A2-83F4-8D1F502E2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0900" y="152400"/>
          <a:ext cx="1993766" cy="698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104773</xdr:colOff>
      <xdr:row>7</xdr:row>
      <xdr:rowOff>88447</xdr:rowOff>
    </xdr:from>
    <xdr:to>
      <xdr:col>20</xdr:col>
      <xdr:colOff>219075</xdr:colOff>
      <xdr:row>27</xdr:row>
      <xdr:rowOff>104775</xdr:rowOff>
    </xdr:to>
    <xdr:graphicFrame macro="">
      <xdr:nvGraphicFramePr>
        <xdr:cNvPr id="3" name="Graph Secteu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86591</xdr:colOff>
      <xdr:row>7</xdr:row>
      <xdr:rowOff>69272</xdr:rowOff>
    </xdr:from>
    <xdr:to>
      <xdr:col>42</xdr:col>
      <xdr:colOff>200893</xdr:colOff>
      <xdr:row>27</xdr:row>
      <xdr:rowOff>85600</xdr:rowOff>
    </xdr:to>
    <xdr:graphicFrame macro="">
      <xdr:nvGraphicFramePr>
        <xdr:cNvPr id="7" name="Graph Secteu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86591</xdr:colOff>
      <xdr:row>32</xdr:row>
      <xdr:rowOff>69273</xdr:rowOff>
    </xdr:from>
    <xdr:to>
      <xdr:col>13</xdr:col>
      <xdr:colOff>207818</xdr:colOff>
      <xdr:row>46</xdr:row>
      <xdr:rowOff>103909</xdr:rowOff>
    </xdr:to>
    <xdr:graphicFrame macro="">
      <xdr:nvGraphicFramePr>
        <xdr:cNvPr id="8" name="Graph Secteu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86591</xdr:colOff>
      <xdr:row>32</xdr:row>
      <xdr:rowOff>69273</xdr:rowOff>
    </xdr:from>
    <xdr:to>
      <xdr:col>42</xdr:col>
      <xdr:colOff>207819</xdr:colOff>
      <xdr:row>46</xdr:row>
      <xdr:rowOff>103909</xdr:rowOff>
    </xdr:to>
    <xdr:graphicFrame macro="">
      <xdr:nvGraphicFramePr>
        <xdr:cNvPr id="9" name="Graph Secteu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17318</xdr:colOff>
      <xdr:row>32</xdr:row>
      <xdr:rowOff>51954</xdr:rowOff>
    </xdr:from>
    <xdr:to>
      <xdr:col>27</xdr:col>
      <xdr:colOff>242455</xdr:colOff>
      <xdr:row>46</xdr:row>
      <xdr:rowOff>86590</xdr:rowOff>
    </xdr:to>
    <xdr:graphicFrame macro="">
      <xdr:nvGraphicFramePr>
        <xdr:cNvPr id="10" name="Graph Secteu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36</xdr:col>
      <xdr:colOff>24381</xdr:colOff>
      <xdr:row>0</xdr:row>
      <xdr:rowOff>0</xdr:rowOff>
    </xdr:from>
    <xdr:to>
      <xdr:col>42</xdr:col>
      <xdr:colOff>132197</xdr:colOff>
      <xdr:row>3</xdr:row>
      <xdr:rowOff>127000</xdr:rowOff>
    </xdr:to>
    <xdr:pic>
      <xdr:nvPicPr>
        <xdr:cNvPr id="11" name="Image 10">
          <a:extLst>
            <a:ext uri="{FF2B5EF4-FFF2-40B4-BE49-F238E27FC236}">
              <a16:creationId xmlns="" xmlns:a16="http://schemas.microsoft.com/office/drawing/2014/main" id="{F3738E9D-01C1-46A2-83F4-8D1F502E2F9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340081" y="0"/>
          <a:ext cx="1993766" cy="698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15</xdr:row>
      <xdr:rowOff>0</xdr:rowOff>
    </xdr:from>
    <xdr:to>
      <xdr:col>15</xdr:col>
      <xdr:colOff>652096</xdr:colOff>
      <xdr:row>31</xdr:row>
      <xdr:rowOff>58615</xdr:rowOff>
    </xdr:to>
    <xdr:graphicFrame macro="">
      <xdr:nvGraphicFramePr>
        <xdr:cNvPr id="2" name="Graph Per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witter.com/OfiInvestAM_Int" TargetMode="External"/><Relationship Id="rId1" Type="http://schemas.openxmlformats.org/officeDocument/2006/relationships/hyperlink" Target="https://twitter.com/OfiInvestAM_In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witter.com/OfiInvestAM_I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twitter.com/OfiInvestAM_I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0000"/>
    <outlinePr showOutlineSymbols="0"/>
    <pageSetUpPr fitToPage="1"/>
  </sheetPr>
  <dimension ref="A1:AQ64"/>
  <sheetViews>
    <sheetView showGridLines="0" tabSelected="1" showOutlineSymbols="0" view="pageBreakPreview" zoomScale="85" zoomScaleNormal="55" zoomScaleSheetLayoutView="85" workbookViewId="0">
      <selection sqref="A1:AG3"/>
    </sheetView>
  </sheetViews>
  <sheetFormatPr baseColWidth="10" defaultColWidth="4.7109375" defaultRowHeight="15" customHeight="1" outlineLevelRow="1"/>
  <sheetData>
    <row r="1" spans="1:43" ht="15" customHeight="1" outlineLevel="1">
      <c r="A1" s="255">
        <f>Données!$A$3</f>
        <v>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174"/>
      <c r="AI1" s="174"/>
      <c r="AJ1" s="174"/>
      <c r="AK1" s="174"/>
      <c r="AL1" s="174"/>
      <c r="AM1" s="174"/>
      <c r="AN1" s="174"/>
      <c r="AO1" s="174"/>
      <c r="AP1" s="174"/>
      <c r="AQ1" s="174"/>
    </row>
    <row r="2" spans="1:43" ht="15" customHeight="1" outlineLevel="1">
      <c r="A2" s="257"/>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174"/>
      <c r="AI2" s="174"/>
      <c r="AJ2" s="174"/>
      <c r="AK2" s="174"/>
      <c r="AL2" s="174"/>
      <c r="AM2" s="174"/>
      <c r="AN2" s="174"/>
      <c r="AO2" s="174"/>
      <c r="AP2" s="174"/>
      <c r="AQ2" s="174"/>
    </row>
    <row r="3" spans="1:43" ht="15" customHeight="1" outlineLevel="1">
      <c r="A3" s="257"/>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174"/>
      <c r="AI3" s="174"/>
      <c r="AJ3" s="174"/>
      <c r="AK3" s="174"/>
      <c r="AL3" s="174"/>
      <c r="AM3" s="174"/>
      <c r="AN3" s="174"/>
      <c r="AO3" s="174"/>
      <c r="AP3" s="174"/>
      <c r="AQ3" s="174"/>
    </row>
    <row r="4" spans="1:43" ht="15" customHeight="1" outlineLevel="1">
      <c r="A4" s="258" t="e">
        <f>CONCATENATE("Monthly Factsheet - ",HLOOKUP("Classe d'actifs",Caracteristik!$1:$2,2,FALSE)," - ",CHOOSE(MONTH(TEXT(RIGHT(A12,10),"mmmm aaaa")),"January","February","March","April","May","June","July","August","September","October","November","December")," ",RIGHT(A12,4))</f>
        <v>#VALUE!</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135"/>
      <c r="AI4" s="135"/>
      <c r="AJ4" s="135"/>
      <c r="AK4" s="135"/>
      <c r="AL4" s="135"/>
      <c r="AM4" s="135"/>
      <c r="AN4" s="135"/>
      <c r="AO4" s="135"/>
      <c r="AP4" s="135"/>
      <c r="AQ4" s="135"/>
    </row>
    <row r="5" spans="1:43" ht="15" customHeight="1" outlineLevel="1">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135"/>
      <c r="AI5" s="135"/>
      <c r="AJ5" s="135"/>
      <c r="AK5" s="135"/>
      <c r="AL5" s="135"/>
      <c r="AM5" s="135"/>
      <c r="AN5" s="135"/>
      <c r="AO5" s="135"/>
      <c r="AP5" s="135"/>
      <c r="AQ5" s="135"/>
    </row>
    <row r="6" spans="1:43" s="175" customFormat="1" ht="15" customHeight="1" outlineLevel="1">
      <c r="A6" s="206" t="s">
        <v>232</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184"/>
      <c r="AB6" s="184"/>
      <c r="AC6" s="184"/>
      <c r="AD6" s="184"/>
      <c r="AE6" s="184"/>
      <c r="AF6" s="184"/>
      <c r="AG6" s="184"/>
      <c r="AH6" s="135"/>
      <c r="AI6" s="135"/>
      <c r="AJ6" s="135"/>
      <c r="AK6" s="135"/>
      <c r="AL6" s="135"/>
      <c r="AM6" s="135"/>
      <c r="AN6" s="135"/>
      <c r="AO6" s="135"/>
      <c r="AP6" s="135"/>
      <c r="AQ6" s="135"/>
    </row>
    <row r="7" spans="1:43" ht="15" customHeight="1" outlineLevel="1">
      <c r="A7" s="254" t="str">
        <f>HLOOKUP("Accroche",Caracteristik!$1:$2,2,FALSE)</f>
        <v xml:space="preserve">Ofi Invest Euro High Yield GI is mainly invested in euro-denominated high yield bonds issued by companies based in countries members of the OECD.The investment team may also use CDS or CDS indices. Exposure to other euro-denominated corporate bonds is capped at 20%. </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row>
    <row r="8" spans="1:43" ht="15" customHeight="1" outlineLevel="1">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row>
    <row r="9" spans="1:43" ht="15" customHeight="1" outlineLevel="1">
      <c r="A9" s="254"/>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row>
    <row r="10" spans="1:43" s="175" customFormat="1" ht="15" customHeight="1" outlineLevel="1">
      <c r="A10" s="282" t="s">
        <v>241</v>
      </c>
      <c r="B10" s="282"/>
      <c r="C10" s="282"/>
      <c r="D10" s="282"/>
      <c r="E10" s="282"/>
      <c r="F10" s="283" t="s">
        <v>262</v>
      </c>
      <c r="G10" s="283"/>
      <c r="H10" s="283"/>
      <c r="I10" s="283"/>
      <c r="J10" s="283"/>
      <c r="K10" s="283"/>
      <c r="L10" s="283"/>
      <c r="M10" s="283"/>
      <c r="N10" s="283"/>
      <c r="O10" s="283"/>
      <c r="P10" s="283"/>
      <c r="Q10" s="283"/>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row>
    <row r="11" spans="1:43" s="175" customFormat="1" ht="15" customHeight="1" outlineLevel="1">
      <c r="A11" s="18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row>
    <row r="12" spans="1:43" ht="15" customHeight="1" outlineLevel="1">
      <c r="A12" s="266" t="str">
        <f>CONCATENATE("Key figures as of ",TEXT(VALUE(Données!B4),"jj/mm/aaaa"))</f>
        <v>Key figures as of 00/01/1900</v>
      </c>
      <c r="B12" s="267"/>
      <c r="C12" s="267"/>
      <c r="D12" s="267"/>
      <c r="E12" s="267"/>
      <c r="F12" s="267"/>
      <c r="G12" s="267"/>
      <c r="H12" s="267"/>
      <c r="I12" s="267"/>
      <c r="J12" s="267"/>
      <c r="K12" s="267"/>
      <c r="L12" s="268"/>
      <c r="M12" s="1"/>
      <c r="N12" s="269" t="s">
        <v>245</v>
      </c>
      <c r="O12" s="270"/>
      <c r="P12" s="270"/>
      <c r="Q12" s="270"/>
      <c r="R12" s="270"/>
      <c r="S12" s="270"/>
      <c r="T12" s="270"/>
      <c r="U12" s="270"/>
      <c r="V12" s="270"/>
      <c r="W12" s="270"/>
      <c r="X12" s="270"/>
      <c r="Y12" s="270"/>
      <c r="Z12" s="270"/>
      <c r="AA12" s="270"/>
      <c r="AB12" s="270"/>
      <c r="AC12" s="270"/>
      <c r="AD12" s="271"/>
      <c r="AE12" s="1"/>
      <c r="AF12" s="233" t="s">
        <v>209</v>
      </c>
      <c r="AG12" s="234"/>
      <c r="AH12" s="234"/>
      <c r="AI12" s="234"/>
      <c r="AJ12" s="234"/>
      <c r="AK12" s="234"/>
      <c r="AL12" s="234"/>
      <c r="AM12" s="234"/>
      <c r="AN12" s="234"/>
      <c r="AO12" s="234"/>
      <c r="AP12" s="234"/>
      <c r="AQ12" s="235"/>
    </row>
    <row r="13" spans="1:43" ht="15" customHeight="1" outlineLevel="1">
      <c r="A13" s="1"/>
      <c r="B13" s="1"/>
      <c r="C13" s="1"/>
      <c r="D13" s="1"/>
      <c r="E13" s="1"/>
      <c r="F13" s="1"/>
      <c r="G13" s="1"/>
      <c r="H13" s="1"/>
      <c r="I13" s="1"/>
      <c r="J13" s="1"/>
      <c r="K13" s="1"/>
      <c r="L13" s="1"/>
      <c r="M13" s="1"/>
      <c r="N13" s="51"/>
      <c r="O13" s="2"/>
      <c r="P13" s="2"/>
      <c r="Q13" s="2"/>
      <c r="R13" s="2"/>
      <c r="S13" s="2"/>
      <c r="T13" s="2"/>
      <c r="U13" s="2"/>
      <c r="V13" s="2"/>
      <c r="W13" s="2"/>
      <c r="X13" s="2"/>
      <c r="Y13" s="2"/>
      <c r="Z13" s="2"/>
      <c r="AA13" s="2"/>
      <c r="AB13" s="2"/>
      <c r="AC13" s="2"/>
      <c r="AD13" s="8"/>
      <c r="AE13" s="29"/>
    </row>
    <row r="14" spans="1:43" ht="15" customHeight="1" outlineLevel="1">
      <c r="A14" s="188" t="s">
        <v>124</v>
      </c>
      <c r="B14" s="189"/>
      <c r="C14" s="189"/>
      <c r="D14" s="189"/>
      <c r="E14" s="189"/>
      <c r="F14" s="189"/>
      <c r="G14" s="189"/>
      <c r="H14" s="189"/>
      <c r="I14" s="189"/>
      <c r="J14" s="272">
        <f>Données!$B$5</f>
        <v>0</v>
      </c>
      <c r="K14" s="272"/>
      <c r="L14" s="273"/>
      <c r="M14" s="1"/>
      <c r="N14" s="7"/>
      <c r="O14" s="2"/>
      <c r="P14" s="2"/>
      <c r="Q14" s="2"/>
      <c r="R14" s="2"/>
      <c r="S14" s="2"/>
      <c r="T14" s="2"/>
      <c r="U14" s="2"/>
      <c r="V14" s="2"/>
      <c r="W14" s="2"/>
      <c r="X14" s="2"/>
      <c r="Y14" s="2"/>
      <c r="Z14" s="2"/>
      <c r="AA14" s="2"/>
      <c r="AB14" s="2"/>
      <c r="AC14" s="2"/>
      <c r="AD14" s="8"/>
      <c r="AE14" s="29"/>
      <c r="AF14" s="171" t="s">
        <v>218</v>
      </c>
      <c r="AG14" s="168"/>
      <c r="AH14" s="168"/>
      <c r="AI14" s="168"/>
      <c r="AJ14" s="168"/>
      <c r="AK14" s="194">
        <v>1</v>
      </c>
      <c r="AL14" s="194">
        <v>2</v>
      </c>
      <c r="AM14" s="194">
        <v>3</v>
      </c>
      <c r="AN14" s="194">
        <v>4</v>
      </c>
      <c r="AO14" s="194">
        <v>5</v>
      </c>
      <c r="AP14" s="194">
        <v>6</v>
      </c>
      <c r="AQ14" s="194">
        <v>7</v>
      </c>
    </row>
    <row r="15" spans="1:43" ht="15" customHeight="1" outlineLevel="1">
      <c r="A15" s="190" t="str">
        <f>IF(Données!B6&gt;1000000,"Net Assets of the unit (EUR M):","Net Assets of the unit (EUR):")</f>
        <v>Net Assets of the unit (EUR):</v>
      </c>
      <c r="B15" s="191"/>
      <c r="C15" s="191"/>
      <c r="D15" s="191"/>
      <c r="E15" s="191"/>
      <c r="F15" s="191"/>
      <c r="G15" s="191"/>
      <c r="H15" s="191"/>
      <c r="I15" s="191"/>
      <c r="J15" s="274">
        <f>IF(Données!$B$6&gt;1000000,Données!$B$6/1000000,Données!$B$6)</f>
        <v>0</v>
      </c>
      <c r="K15" s="274"/>
      <c r="L15" s="275"/>
      <c r="M15" s="1"/>
      <c r="N15" s="7"/>
      <c r="O15" s="2"/>
      <c r="P15" s="2"/>
      <c r="Q15" s="2"/>
      <c r="R15" s="2"/>
      <c r="S15" s="2"/>
      <c r="T15" s="2"/>
      <c r="U15" s="2"/>
      <c r="V15" s="2"/>
      <c r="W15" s="2"/>
      <c r="X15" s="2"/>
      <c r="Y15" s="2"/>
      <c r="Z15" s="2"/>
      <c r="AA15" s="2"/>
      <c r="AB15" s="2"/>
      <c r="AC15" s="2"/>
      <c r="AD15" s="8"/>
      <c r="AE15" s="29"/>
    </row>
    <row r="16" spans="1:43" ht="15" customHeight="1" outlineLevel="1">
      <c r="A16" s="190" t="str">
        <f>IF(Données!B6=Données!B7,"",IF(Données!B7&gt;1000000,"Total Net Assets (EUR M):","Total Net Assets (EUR):"))</f>
        <v/>
      </c>
      <c r="B16" s="191"/>
      <c r="C16" s="191"/>
      <c r="D16" s="191"/>
      <c r="E16" s="191"/>
      <c r="F16" s="191"/>
      <c r="G16" s="191"/>
      <c r="H16" s="191"/>
      <c r="I16" s="191"/>
      <c r="J16" s="191"/>
      <c r="K16" s="274" t="str">
        <f>IF(Données!$B$6=Données!$B$7,"",IF(Données!$B$7&gt;1000000,Données!$B$7/1000000,Données!$B$7))</f>
        <v/>
      </c>
      <c r="L16" s="275"/>
      <c r="M16" s="1"/>
      <c r="N16" s="7"/>
      <c r="O16" s="2"/>
      <c r="P16" s="2"/>
      <c r="Q16" s="2"/>
      <c r="R16" s="2"/>
      <c r="S16" s="2"/>
      <c r="T16" s="2"/>
      <c r="U16" s="2"/>
      <c r="V16" s="2"/>
      <c r="W16" s="2"/>
      <c r="X16" s="2"/>
      <c r="Y16" s="2"/>
      <c r="Z16" s="2"/>
      <c r="AA16" s="2"/>
      <c r="AB16" s="2"/>
      <c r="AC16" s="2"/>
      <c r="AD16" s="8"/>
      <c r="AE16" s="29"/>
      <c r="AF16" s="233" t="s">
        <v>141</v>
      </c>
      <c r="AG16" s="234"/>
      <c r="AH16" s="234"/>
      <c r="AI16" s="234"/>
      <c r="AJ16" s="234"/>
      <c r="AK16" s="234"/>
      <c r="AL16" s="234"/>
      <c r="AM16" s="234"/>
      <c r="AN16" s="234"/>
      <c r="AO16" s="234"/>
      <c r="AP16" s="234"/>
      <c r="AQ16" s="235"/>
    </row>
    <row r="17" spans="1:43" ht="15" customHeight="1" outlineLevel="1">
      <c r="A17" s="190"/>
      <c r="B17" s="191"/>
      <c r="C17" s="191"/>
      <c r="D17" s="191"/>
      <c r="E17" s="191"/>
      <c r="F17" s="191"/>
      <c r="G17" s="191"/>
      <c r="H17" s="191"/>
      <c r="I17" s="191"/>
      <c r="J17" s="191"/>
      <c r="K17" s="294"/>
      <c r="L17" s="295"/>
      <c r="M17" s="1"/>
      <c r="N17" s="7"/>
      <c r="O17" s="2"/>
      <c r="P17" s="2"/>
      <c r="Q17" s="2"/>
      <c r="R17" s="2"/>
      <c r="S17" s="2"/>
      <c r="T17" s="2"/>
      <c r="U17" s="2"/>
      <c r="V17" s="2"/>
      <c r="W17" s="2"/>
      <c r="X17" s="2"/>
      <c r="Y17" s="2"/>
      <c r="Z17" s="2"/>
      <c r="AA17" s="2"/>
      <c r="AB17" s="2"/>
      <c r="AC17" s="2"/>
      <c r="AD17" s="8"/>
      <c r="AE17" s="29"/>
      <c r="AF17" s="7"/>
      <c r="AG17" s="2"/>
      <c r="AH17" s="2"/>
      <c r="AI17" s="2"/>
      <c r="AJ17" s="2"/>
      <c r="AK17" s="2"/>
      <c r="AL17" s="2"/>
      <c r="AM17" s="2"/>
      <c r="AN17" s="2"/>
      <c r="AO17" s="2"/>
      <c r="AP17" s="2"/>
      <c r="AQ17" s="8"/>
    </row>
    <row r="18" spans="1:43" ht="15" customHeight="1" outlineLevel="1">
      <c r="A18" s="190" t="s">
        <v>207</v>
      </c>
      <c r="B18" s="191"/>
      <c r="C18" s="191"/>
      <c r="D18" s="191"/>
      <c r="E18" s="191"/>
      <c r="F18" s="191"/>
      <c r="G18" s="191"/>
      <c r="H18" s="191"/>
      <c r="I18" s="191"/>
      <c r="J18" s="298">
        <f>Données!E52</f>
        <v>0</v>
      </c>
      <c r="K18" s="294"/>
      <c r="L18" s="295"/>
      <c r="M18" s="1"/>
      <c r="N18" s="7"/>
      <c r="O18" s="2"/>
      <c r="P18" s="2"/>
      <c r="Q18" s="2"/>
      <c r="R18" s="2"/>
      <c r="S18" s="2"/>
      <c r="T18" s="2"/>
      <c r="U18" s="2"/>
      <c r="V18" s="2"/>
      <c r="W18" s="2"/>
      <c r="X18" s="2"/>
      <c r="Y18" s="2"/>
      <c r="Z18" s="2"/>
      <c r="AA18" s="2"/>
      <c r="AB18" s="2"/>
      <c r="AC18" s="2"/>
      <c r="AD18" s="8"/>
      <c r="AE18" s="3"/>
      <c r="AF18" s="7"/>
      <c r="AG18" s="2"/>
      <c r="AH18" s="2"/>
      <c r="AI18" s="2"/>
      <c r="AJ18" s="2"/>
      <c r="AK18" s="2"/>
      <c r="AL18" s="2"/>
      <c r="AM18" s="2"/>
      <c r="AN18" s="2"/>
      <c r="AO18" s="2"/>
      <c r="AP18" s="2"/>
      <c r="AQ18" s="8"/>
    </row>
    <row r="19" spans="1:43" ht="15" customHeight="1" outlineLevel="1">
      <c r="A19" s="192" t="s">
        <v>125</v>
      </c>
      <c r="B19" s="193"/>
      <c r="C19" s="193"/>
      <c r="D19" s="193"/>
      <c r="E19" s="193"/>
      <c r="F19" s="193"/>
      <c r="G19" s="193"/>
      <c r="H19" s="193"/>
      <c r="I19" s="193"/>
      <c r="J19" s="299">
        <f>Données!E51</f>
        <v>0.75149566000000001</v>
      </c>
      <c r="K19" s="300"/>
      <c r="L19" s="301"/>
      <c r="M19" s="1"/>
      <c r="N19" s="7"/>
      <c r="O19" s="2"/>
      <c r="P19" s="2"/>
      <c r="Q19" s="2"/>
      <c r="R19" s="2"/>
      <c r="S19" s="2"/>
      <c r="T19" s="2"/>
      <c r="U19" s="2"/>
      <c r="V19" s="2"/>
      <c r="W19" s="2"/>
      <c r="X19" s="2"/>
      <c r="Y19" s="2"/>
      <c r="Z19" s="2"/>
      <c r="AA19" s="2"/>
      <c r="AB19" s="2"/>
      <c r="AC19" s="2"/>
      <c r="AD19" s="8"/>
      <c r="AE19" s="3"/>
      <c r="AF19" s="7"/>
      <c r="AG19" s="2"/>
      <c r="AH19" s="2"/>
      <c r="AI19" s="2"/>
      <c r="AJ19" s="2"/>
      <c r="AK19" s="2"/>
      <c r="AL19" s="2"/>
      <c r="AM19" s="2"/>
      <c r="AN19" s="2"/>
      <c r="AO19" s="2"/>
      <c r="AP19" s="2"/>
      <c r="AQ19" s="8"/>
    </row>
    <row r="20" spans="1:43" s="82" customFormat="1" ht="15" customHeight="1" outlineLevel="1">
      <c r="N20" s="51"/>
      <c r="O20" s="2"/>
      <c r="P20" s="2"/>
      <c r="Q20" s="2"/>
      <c r="R20" s="2"/>
      <c r="S20" s="2"/>
      <c r="T20" s="2"/>
      <c r="U20" s="2"/>
      <c r="V20" s="2"/>
      <c r="W20" s="2"/>
      <c r="X20" s="2"/>
      <c r="Y20" s="2"/>
      <c r="Z20" s="2"/>
      <c r="AA20" s="2"/>
      <c r="AB20" s="2"/>
      <c r="AC20" s="2"/>
      <c r="AD20" s="8"/>
      <c r="AE20" s="45"/>
      <c r="AF20" s="7"/>
      <c r="AG20" s="2"/>
      <c r="AH20" s="2"/>
      <c r="AI20" s="2"/>
      <c r="AJ20" s="2"/>
      <c r="AK20" s="2"/>
      <c r="AL20" s="2"/>
      <c r="AM20" s="2"/>
      <c r="AN20" s="2"/>
      <c r="AO20" s="2"/>
      <c r="AP20" s="2"/>
      <c r="AQ20" s="8"/>
    </row>
    <row r="21" spans="1:43" s="92" customFormat="1" ht="15" customHeight="1" outlineLevel="1">
      <c r="N21" s="51"/>
      <c r="O21" s="2"/>
      <c r="P21" s="2"/>
      <c r="Q21" s="2"/>
      <c r="R21" s="2"/>
      <c r="S21" s="2"/>
      <c r="T21" s="2"/>
      <c r="U21" s="2"/>
      <c r="V21" s="2"/>
      <c r="W21" s="2"/>
      <c r="X21" s="2"/>
      <c r="Y21" s="2"/>
      <c r="Z21" s="2"/>
      <c r="AA21" s="2"/>
      <c r="AB21" s="2"/>
      <c r="AC21" s="2"/>
      <c r="AD21" s="8"/>
      <c r="AE21" s="84"/>
      <c r="AF21" s="14"/>
      <c r="AG21" s="15"/>
      <c r="AH21" s="15"/>
      <c r="AI21" s="15"/>
      <c r="AJ21" s="15"/>
      <c r="AK21" s="15"/>
      <c r="AL21" s="15"/>
      <c r="AM21" s="15"/>
      <c r="AN21" s="15"/>
      <c r="AO21" s="15"/>
      <c r="AP21" s="15"/>
      <c r="AQ21" s="16"/>
    </row>
    <row r="22" spans="1:43" ht="15" customHeight="1" outlineLevel="1">
      <c r="A22" s="266" t="s">
        <v>126</v>
      </c>
      <c r="B22" s="267"/>
      <c r="C22" s="267"/>
      <c r="D22" s="267"/>
      <c r="E22" s="267"/>
      <c r="F22" s="267"/>
      <c r="G22" s="267"/>
      <c r="H22" s="267"/>
      <c r="I22" s="267"/>
      <c r="J22" s="267"/>
      <c r="K22" s="267"/>
      <c r="L22" s="268"/>
      <c r="M22" s="1"/>
      <c r="N22" s="7"/>
      <c r="O22" s="2"/>
      <c r="P22" s="2"/>
      <c r="Q22" s="2"/>
      <c r="R22" s="2"/>
      <c r="S22" s="2"/>
      <c r="T22" s="2"/>
      <c r="U22" s="2"/>
      <c r="V22" s="2"/>
      <c r="W22" s="2"/>
      <c r="X22" s="2"/>
      <c r="Y22" s="2"/>
      <c r="Z22" s="2"/>
      <c r="AA22" s="2"/>
      <c r="AB22" s="2"/>
      <c r="AC22" s="2"/>
      <c r="AD22" s="8"/>
      <c r="AE22" s="3"/>
      <c r="AF22" s="1"/>
      <c r="AG22" s="1"/>
      <c r="AH22" s="1"/>
      <c r="AI22" s="1"/>
      <c r="AJ22" s="1"/>
      <c r="AK22" s="1"/>
      <c r="AL22" s="1"/>
      <c r="AM22" s="1"/>
      <c r="AN22" s="1"/>
      <c r="AO22" s="1"/>
      <c r="AP22" s="1"/>
      <c r="AQ22" s="18" t="s">
        <v>161</v>
      </c>
    </row>
    <row r="23" spans="1:43" ht="15" customHeight="1" outlineLevel="1">
      <c r="A23" s="173"/>
      <c r="B23" s="173"/>
      <c r="C23" s="173"/>
      <c r="D23" s="173"/>
      <c r="E23" s="173"/>
      <c r="F23" s="173"/>
      <c r="G23" s="173"/>
      <c r="H23" s="173"/>
      <c r="I23" s="173"/>
      <c r="J23" s="173"/>
      <c r="K23" s="173"/>
      <c r="L23" s="173"/>
      <c r="M23" s="1"/>
      <c r="N23" s="7"/>
      <c r="O23" s="2"/>
      <c r="P23" s="2"/>
      <c r="Q23" s="2"/>
      <c r="R23" s="2"/>
      <c r="S23" s="2"/>
      <c r="T23" s="2"/>
      <c r="U23" s="2"/>
      <c r="V23" s="2"/>
      <c r="W23" s="2"/>
      <c r="X23" s="2"/>
      <c r="Y23" s="2"/>
      <c r="Z23" s="2"/>
      <c r="AA23" s="2"/>
      <c r="AB23" s="2"/>
      <c r="AC23" s="2"/>
      <c r="AD23" s="8"/>
      <c r="AE23" s="3"/>
    </row>
    <row r="24" spans="1:43" ht="15" customHeight="1" outlineLevel="1">
      <c r="A24" s="201" t="s">
        <v>212</v>
      </c>
      <c r="B24" s="202"/>
      <c r="C24" s="202"/>
      <c r="D24" s="202"/>
      <c r="E24" s="202"/>
      <c r="F24" s="202"/>
      <c r="G24" s="202"/>
      <c r="H24" s="202"/>
      <c r="I24" s="202"/>
      <c r="J24" s="202"/>
      <c r="K24" s="202"/>
      <c r="L24" s="203" t="str">
        <f>HLOOKUP("Code ISIN",Caracteristik!$1:$2,2,FALSE)</f>
        <v>FR0013274966</v>
      </c>
      <c r="M24" s="1"/>
      <c r="N24" s="7"/>
      <c r="O24" s="2"/>
      <c r="P24" s="2"/>
      <c r="Q24" s="2"/>
      <c r="R24" s="2"/>
      <c r="S24" s="2"/>
      <c r="T24" s="2"/>
      <c r="U24" s="2"/>
      <c r="V24" s="2"/>
      <c r="W24" s="2"/>
      <c r="X24" s="2"/>
      <c r="Y24" s="2"/>
      <c r="Z24" s="2"/>
      <c r="AA24" s="2"/>
      <c r="AB24" s="2"/>
      <c r="AC24" s="2"/>
      <c r="AD24" s="8"/>
      <c r="AE24" s="3"/>
      <c r="AF24" s="233" t="s">
        <v>142</v>
      </c>
      <c r="AG24" s="234"/>
      <c r="AH24" s="234"/>
      <c r="AI24" s="234"/>
      <c r="AJ24" s="234"/>
      <c r="AK24" s="234"/>
      <c r="AL24" s="234"/>
      <c r="AM24" s="234"/>
      <c r="AN24" s="234"/>
      <c r="AO24" s="234"/>
      <c r="AP24" s="234"/>
      <c r="AQ24" s="235"/>
    </row>
    <row r="25" spans="1:43" ht="15" customHeight="1" outlineLevel="1">
      <c r="A25" s="20" t="s">
        <v>235</v>
      </c>
      <c r="B25" s="135"/>
      <c r="C25" s="135"/>
      <c r="D25" s="135"/>
      <c r="E25" s="135"/>
      <c r="F25" s="135"/>
      <c r="G25" s="135"/>
      <c r="H25" s="135"/>
      <c r="I25" s="135"/>
      <c r="J25" s="135"/>
      <c r="K25" s="135"/>
      <c r="L25" s="195" t="str">
        <f>HLOOKUP("Ticker Bloomberg",Caracteristik!$1:$2,2,FALSE)</f>
        <v>OFICEGI FP Equity</v>
      </c>
      <c r="M25" s="1"/>
      <c r="N25" s="7"/>
      <c r="O25" s="2"/>
      <c r="P25" s="2"/>
      <c r="Q25" s="2"/>
      <c r="R25" s="2"/>
      <c r="S25" s="2"/>
      <c r="T25" s="2"/>
      <c r="U25" s="2"/>
      <c r="V25" s="2"/>
      <c r="W25" s="2"/>
      <c r="X25" s="2"/>
      <c r="Y25" s="2"/>
      <c r="Z25" s="2"/>
      <c r="AA25" s="2"/>
      <c r="AB25" s="2"/>
      <c r="AC25" s="2"/>
      <c r="AD25" s="8"/>
      <c r="AE25" s="3"/>
      <c r="AF25" s="7"/>
      <c r="AG25" s="2"/>
      <c r="AH25" s="2"/>
      <c r="AI25" s="2"/>
      <c r="AJ25" s="2"/>
      <c r="AK25" s="2"/>
      <c r="AL25" s="2"/>
      <c r="AM25" s="2"/>
      <c r="AN25" s="2"/>
      <c r="AO25" s="2"/>
      <c r="AP25" s="2"/>
      <c r="AQ25" s="8"/>
    </row>
    <row r="26" spans="1:43" ht="15" customHeight="1" outlineLevel="1">
      <c r="A26" s="20" t="s">
        <v>127</v>
      </c>
      <c r="B26" s="21"/>
      <c r="C26" s="21"/>
      <c r="D26" s="21"/>
      <c r="E26" s="21"/>
      <c r="F26" s="172"/>
      <c r="G26" s="133"/>
      <c r="H26" s="133"/>
      <c r="I26" s="133"/>
      <c r="J26" s="133"/>
      <c r="K26" s="133"/>
      <c r="L26" s="195" t="str">
        <f>HLOOKUP("Classification AMF",Caracteristik!$1:$2,2,FALSE)</f>
        <v>Bonds and other debt securities in EUR</v>
      </c>
      <c r="M26" s="1"/>
      <c r="N26" s="9"/>
      <c r="O26" s="6"/>
      <c r="P26" s="6"/>
      <c r="Q26" s="6"/>
      <c r="R26" s="6"/>
      <c r="S26" s="6"/>
      <c r="T26" s="6"/>
      <c r="U26" s="6"/>
      <c r="V26" s="6"/>
      <c r="W26" s="6"/>
      <c r="X26" s="6"/>
      <c r="Y26" s="6"/>
      <c r="Z26" s="6"/>
      <c r="AA26" s="6"/>
      <c r="AB26" s="6"/>
      <c r="AC26" s="6"/>
      <c r="AD26" s="10"/>
      <c r="AE26" s="3"/>
      <c r="AF26" s="7"/>
      <c r="AG26" s="2"/>
      <c r="AH26" s="2"/>
      <c r="AI26" s="2"/>
      <c r="AJ26" s="2"/>
      <c r="AK26" s="2"/>
      <c r="AL26" s="2"/>
      <c r="AM26" s="2"/>
      <c r="AN26" s="2"/>
      <c r="AO26" s="2"/>
      <c r="AP26" s="2"/>
      <c r="AQ26" s="8"/>
    </row>
    <row r="27" spans="1:43" ht="15" customHeight="1" outlineLevel="1">
      <c r="A27" s="196" t="s">
        <v>128</v>
      </c>
      <c r="B27" s="30"/>
      <c r="C27" s="30"/>
      <c r="D27" s="31"/>
      <c r="E27" s="31"/>
      <c r="F27" s="32"/>
      <c r="G27" s="197"/>
      <c r="H27" s="197"/>
      <c r="I27" s="279" t="str">
        <f>HLOOKUP("Classification reporting",Caracteristik!$1:$2,2,FALSE)</f>
        <v>High Yield bonds</v>
      </c>
      <c r="J27" s="280"/>
      <c r="K27" s="280"/>
      <c r="L27" s="281"/>
      <c r="M27" s="1"/>
      <c r="N27" s="9"/>
      <c r="O27" s="6"/>
      <c r="P27" s="6"/>
      <c r="Q27" s="6"/>
      <c r="R27" s="6"/>
      <c r="S27" s="6"/>
      <c r="T27" s="6"/>
      <c r="U27" s="6"/>
      <c r="V27" s="6"/>
      <c r="W27" s="6"/>
      <c r="X27" s="6"/>
      <c r="Y27" s="6"/>
      <c r="Z27" s="6"/>
      <c r="AA27" s="6"/>
      <c r="AB27" s="6"/>
      <c r="AC27" s="6"/>
      <c r="AD27" s="10"/>
      <c r="AE27" s="3"/>
      <c r="AF27" s="7"/>
      <c r="AG27" s="2"/>
      <c r="AH27" s="2"/>
      <c r="AI27" s="2"/>
      <c r="AJ27" s="2"/>
      <c r="AK27" s="2"/>
      <c r="AL27" s="2"/>
      <c r="AM27" s="2"/>
      <c r="AN27" s="2"/>
      <c r="AO27" s="2"/>
      <c r="AP27" s="2"/>
      <c r="AQ27" s="8"/>
    </row>
    <row r="28" spans="1:43" ht="15" customHeight="1" outlineLevel="1">
      <c r="A28" s="292" t="s">
        <v>213</v>
      </c>
      <c r="B28" s="293"/>
      <c r="C28" s="293"/>
      <c r="D28" s="293"/>
      <c r="E28" s="293"/>
      <c r="F28" s="290" t="str">
        <f>HLOOKUP("Indice de référence",Caracteristik!$1:$2,2,FALSE)</f>
        <v>BofA Merrill Lynch Euro Non-Financial Fixed &amp; Floating Rate High Yield (EUR)</v>
      </c>
      <c r="G28" s="290"/>
      <c r="H28" s="290"/>
      <c r="I28" s="290"/>
      <c r="J28" s="290"/>
      <c r="K28" s="290"/>
      <c r="L28" s="291"/>
      <c r="M28" s="1"/>
      <c r="N28" s="9"/>
      <c r="O28" s="6"/>
      <c r="P28" s="6"/>
      <c r="Q28" s="6"/>
      <c r="R28" s="6"/>
      <c r="S28" s="6"/>
      <c r="T28" s="6"/>
      <c r="U28" s="6"/>
      <c r="V28" s="6"/>
      <c r="W28" s="6"/>
      <c r="X28" s="6"/>
      <c r="Y28" s="6"/>
      <c r="Z28" s="6"/>
      <c r="AA28" s="6"/>
      <c r="AB28" s="6"/>
      <c r="AC28" s="6"/>
      <c r="AD28" s="10"/>
      <c r="AE28" s="3"/>
      <c r="AF28" s="7"/>
      <c r="AG28" s="2"/>
      <c r="AH28" s="2"/>
      <c r="AI28" s="2"/>
      <c r="AJ28" s="2"/>
      <c r="AK28" s="2"/>
      <c r="AL28" s="2"/>
      <c r="AM28" s="2"/>
      <c r="AN28" s="2"/>
      <c r="AO28" s="2"/>
      <c r="AP28" s="2"/>
      <c r="AQ28" s="8"/>
    </row>
    <row r="29" spans="1:43" ht="15" customHeight="1" outlineLevel="1">
      <c r="A29" s="292"/>
      <c r="B29" s="293"/>
      <c r="C29" s="293"/>
      <c r="D29" s="293"/>
      <c r="E29" s="293"/>
      <c r="F29" s="290"/>
      <c r="G29" s="290"/>
      <c r="H29" s="290"/>
      <c r="I29" s="290"/>
      <c r="J29" s="290"/>
      <c r="K29" s="290"/>
      <c r="L29" s="291"/>
      <c r="M29" s="4"/>
      <c r="N29" s="11"/>
      <c r="O29" s="12"/>
      <c r="P29" s="12"/>
      <c r="Q29" s="12"/>
      <c r="R29" s="12"/>
      <c r="S29" s="12"/>
      <c r="T29" s="12"/>
      <c r="U29" s="12"/>
      <c r="V29" s="12"/>
      <c r="W29" s="12"/>
      <c r="X29" s="12"/>
      <c r="Y29" s="12"/>
      <c r="Z29" s="12"/>
      <c r="AA29" s="12"/>
      <c r="AB29" s="12"/>
      <c r="AC29" s="12"/>
      <c r="AD29" s="13"/>
      <c r="AE29" s="3"/>
      <c r="AF29" s="14"/>
      <c r="AG29" s="15"/>
      <c r="AH29" s="15"/>
      <c r="AI29" s="15"/>
      <c r="AJ29" s="15"/>
      <c r="AK29" s="15"/>
      <c r="AL29" s="15"/>
      <c r="AM29" s="15"/>
      <c r="AN29" s="15"/>
      <c r="AO29" s="15"/>
      <c r="AP29" s="15"/>
      <c r="AQ29" s="16"/>
    </row>
    <row r="30" spans="1:43" ht="15" customHeight="1" outlineLevel="1">
      <c r="A30" s="292" t="s">
        <v>129</v>
      </c>
      <c r="B30" s="293"/>
      <c r="C30" s="293"/>
      <c r="D30" s="293"/>
      <c r="E30" s="290" t="str">
        <f>HLOOKUP("Principaux risques",Caracteristik!$1:$2,2,FALSE)</f>
        <v>Capital and performance
Market risk: credit, fixed income, high yield, volatility, ermerging</v>
      </c>
      <c r="F30" s="290"/>
      <c r="G30" s="290"/>
      <c r="H30" s="290"/>
      <c r="I30" s="290"/>
      <c r="J30" s="290"/>
      <c r="K30" s="290"/>
      <c r="L30" s="291"/>
      <c r="M30" s="3"/>
      <c r="N30" s="6"/>
      <c r="O30" s="6"/>
      <c r="P30" s="6"/>
      <c r="Q30" s="6"/>
      <c r="R30" s="6"/>
      <c r="S30" s="6"/>
      <c r="T30" s="6"/>
      <c r="U30" s="6"/>
      <c r="V30" s="6"/>
      <c r="W30" s="6"/>
      <c r="X30" s="6"/>
      <c r="Y30" s="6"/>
      <c r="Z30" s="6"/>
      <c r="AA30" s="6"/>
      <c r="AB30" s="6"/>
      <c r="AC30" s="6"/>
      <c r="AD30" s="18" t="s">
        <v>161</v>
      </c>
      <c r="AE30" s="3"/>
      <c r="AF30" s="1"/>
      <c r="AG30" s="1"/>
      <c r="AH30" s="1"/>
      <c r="AI30" s="1"/>
      <c r="AJ30" s="1"/>
      <c r="AK30" s="1"/>
      <c r="AL30" s="1"/>
      <c r="AM30" s="1"/>
      <c r="AN30" s="1"/>
      <c r="AO30" s="1"/>
      <c r="AP30" s="1"/>
      <c r="AQ30" s="18" t="s">
        <v>161</v>
      </c>
    </row>
    <row r="31" spans="1:43" ht="15" customHeight="1" outlineLevel="1">
      <c r="A31" s="292"/>
      <c r="B31" s="293"/>
      <c r="C31" s="293"/>
      <c r="D31" s="293"/>
      <c r="E31" s="290"/>
      <c r="F31" s="290"/>
      <c r="G31" s="290"/>
      <c r="H31" s="290"/>
      <c r="I31" s="290"/>
      <c r="J31" s="290"/>
      <c r="K31" s="290"/>
      <c r="L31" s="291"/>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row>
    <row r="32" spans="1:43" ht="15" customHeight="1" outlineLevel="1">
      <c r="A32" s="292"/>
      <c r="B32" s="293"/>
      <c r="C32" s="293"/>
      <c r="D32" s="293"/>
      <c r="E32" s="290"/>
      <c r="F32" s="290"/>
      <c r="G32" s="290"/>
      <c r="H32" s="290"/>
      <c r="I32" s="290"/>
      <c r="J32" s="290"/>
      <c r="K32" s="290"/>
      <c r="L32" s="291"/>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ht="15" customHeight="1" outlineLevel="1">
      <c r="A33" s="20" t="s">
        <v>131</v>
      </c>
      <c r="B33" s="93"/>
      <c r="C33" s="93"/>
      <c r="D33" s="93"/>
      <c r="E33" s="93"/>
      <c r="F33" s="94"/>
      <c r="G33" s="135"/>
      <c r="H33" s="133"/>
      <c r="I33" s="133"/>
      <c r="J33" s="133"/>
      <c r="K33" s="133"/>
      <c r="L33" s="195" t="str">
        <f>HLOOKUP("Société de gestion en titre",Caracteristik!$1:$2,2,FALSE)</f>
        <v>OFI INVEST ASSET MANAGEMENT</v>
      </c>
      <c r="M33" s="3"/>
      <c r="N33" s="233" t="s">
        <v>143</v>
      </c>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5"/>
    </row>
    <row r="34" spans="1:43" ht="15" customHeight="1" outlineLevel="1">
      <c r="A34" s="20" t="s">
        <v>130</v>
      </c>
      <c r="B34" s="93"/>
      <c r="C34" s="93"/>
      <c r="D34" s="93"/>
      <c r="E34" s="93"/>
      <c r="F34" s="94"/>
      <c r="G34" s="135"/>
      <c r="H34" s="133"/>
      <c r="I34" s="133"/>
      <c r="J34" s="133"/>
      <c r="K34" s="133"/>
      <c r="L34" s="195" t="str">
        <f>HLOOKUP("Gérant",Caracteristik!$1:$2,2,FALSE)</f>
        <v>Maud BERT - Marc BLANC</v>
      </c>
      <c r="M34" s="3"/>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row>
    <row r="35" spans="1:43" ht="15" customHeight="1" outlineLevel="1">
      <c r="A35" s="20" t="s">
        <v>193</v>
      </c>
      <c r="B35" s="21"/>
      <c r="C35" s="19"/>
      <c r="D35" s="19"/>
      <c r="E35" s="19"/>
      <c r="F35" s="33"/>
      <c r="G35" s="135"/>
      <c r="H35" s="133"/>
      <c r="I35" s="133"/>
      <c r="J35" s="133"/>
      <c r="K35" s="133"/>
      <c r="L35" s="195" t="str">
        <f>HLOOKUP("Nature juridique",Caracteristik!$1:$2,2,FALSE)</f>
        <v>French FCP (Mutual Fund, UCITS V)</v>
      </c>
      <c r="M35" s="3"/>
      <c r="N35" s="27"/>
      <c r="O35" s="27"/>
      <c r="P35" s="27"/>
      <c r="Q35" s="27"/>
      <c r="R35" s="27"/>
      <c r="S35" s="27"/>
      <c r="T35" s="229" t="s">
        <v>156</v>
      </c>
      <c r="U35" s="230"/>
      <c r="V35" s="230"/>
      <c r="W35" s="261"/>
      <c r="X35" s="229" t="s">
        <v>157</v>
      </c>
      <c r="Y35" s="230"/>
      <c r="Z35" s="230"/>
      <c r="AA35" s="261"/>
      <c r="AB35" s="229" t="s">
        <v>206</v>
      </c>
      <c r="AC35" s="230"/>
      <c r="AD35" s="230"/>
      <c r="AE35" s="261"/>
      <c r="AF35" s="229" t="s">
        <v>158</v>
      </c>
      <c r="AG35" s="230"/>
      <c r="AH35" s="230"/>
      <c r="AI35" s="261"/>
      <c r="AJ35" s="229" t="s">
        <v>205</v>
      </c>
      <c r="AK35" s="230"/>
      <c r="AL35" s="230"/>
      <c r="AM35" s="230"/>
      <c r="AN35" s="229" t="s">
        <v>159</v>
      </c>
      <c r="AO35" s="230"/>
      <c r="AP35" s="230" t="s">
        <v>160</v>
      </c>
      <c r="AQ35" s="261"/>
    </row>
    <row r="36" spans="1:43" ht="15" customHeight="1" outlineLevel="1">
      <c r="A36" s="20" t="s">
        <v>184</v>
      </c>
      <c r="B36" s="21"/>
      <c r="C36" s="19"/>
      <c r="D36" s="19"/>
      <c r="E36" s="19"/>
      <c r="F36" s="33"/>
      <c r="G36" s="135"/>
      <c r="H36" s="133"/>
      <c r="I36" s="133"/>
      <c r="J36" s="133"/>
      <c r="K36" s="133"/>
      <c r="L36" s="195" t="str">
        <f>HLOOKUP("Affectation du résultat",Caracteristik!$1:$2,2,FALSE)</f>
        <v>Capitalisation</v>
      </c>
      <c r="M36" s="3"/>
      <c r="N36" s="27"/>
      <c r="O36" s="27"/>
      <c r="P36" s="27"/>
      <c r="Q36" s="27"/>
      <c r="R36" s="27"/>
      <c r="S36" s="27"/>
      <c r="T36" s="262" t="s">
        <v>194</v>
      </c>
      <c r="U36" s="263"/>
      <c r="V36" s="264" t="s">
        <v>0</v>
      </c>
      <c r="W36" s="265"/>
      <c r="X36" s="262" t="s">
        <v>194</v>
      </c>
      <c r="Y36" s="263"/>
      <c r="Z36" s="264" t="s">
        <v>0</v>
      </c>
      <c r="AA36" s="265"/>
      <c r="AB36" s="262" t="s">
        <v>194</v>
      </c>
      <c r="AC36" s="263"/>
      <c r="AD36" s="264" t="s">
        <v>0</v>
      </c>
      <c r="AE36" s="265"/>
      <c r="AF36" s="262" t="s">
        <v>194</v>
      </c>
      <c r="AG36" s="263"/>
      <c r="AH36" s="264" t="s">
        <v>0</v>
      </c>
      <c r="AI36" s="265"/>
      <c r="AJ36" s="262" t="s">
        <v>194</v>
      </c>
      <c r="AK36" s="263"/>
      <c r="AL36" s="264" t="s">
        <v>0</v>
      </c>
      <c r="AM36" s="265"/>
      <c r="AN36" s="211" t="s">
        <v>194</v>
      </c>
      <c r="AO36" s="212"/>
      <c r="AP36" s="212" t="s">
        <v>194</v>
      </c>
      <c r="AQ36" s="213"/>
    </row>
    <row r="37" spans="1:43" ht="15" customHeight="1" outlineLevel="1">
      <c r="A37" s="20" t="s">
        <v>132</v>
      </c>
      <c r="B37" s="37"/>
      <c r="C37" s="37"/>
      <c r="D37" s="37"/>
      <c r="E37" s="37"/>
      <c r="F37" s="38"/>
      <c r="G37" s="135"/>
      <c r="H37" s="133"/>
      <c r="I37" s="133"/>
      <c r="J37" s="133"/>
      <c r="K37" s="133"/>
      <c r="L37" s="195" t="str">
        <f>HLOOKUP("Devise de la part",Caracteristik!$1:$2,2,FALSE)</f>
        <v>EUR</v>
      </c>
      <c r="M37" s="3"/>
      <c r="N37" s="276">
        <f>Données!$A$3</f>
        <v>0</v>
      </c>
      <c r="O37" s="277"/>
      <c r="P37" s="277"/>
      <c r="Q37" s="277"/>
      <c r="R37" s="277"/>
      <c r="S37" s="278"/>
      <c r="T37" s="241">
        <f>IF(HLOOKUP("Perf création Fonds",Performances!$27:$28,2,FALSE)="","-",HLOOKUP("Perf création Fonds",Performances!$27:$28,2,FALSE)/100)</f>
        <v>0.3019</v>
      </c>
      <c r="U37" s="242"/>
      <c r="V37" s="246">
        <f>IF(T37="-","-",HLOOKUP("Vol création Fonds",Performances!$27:$28,2,FALSE)/100)</f>
        <v>6.9829130000000003E-2</v>
      </c>
      <c r="W37" s="247"/>
      <c r="X37" s="241">
        <f>IF(HLOOKUP("Perf 5 ans",Performances!$4:$5,2,FALSE)="","-",HLOOKUP("Perf 5 ans",Performances!$4:$5,2,FALSE)/100)</f>
        <v>0.24215247000000001</v>
      </c>
      <c r="Y37" s="242"/>
      <c r="Z37" s="246">
        <f>IF(X37="-","-",HLOOKUP("Vol 5 ans",Performances!$4:$5,2,FALSE)/100)</f>
        <v>5.0415460000000002E-2</v>
      </c>
      <c r="AA37" s="247"/>
      <c r="AB37" s="241">
        <f>IF(HLOOKUP("Perf 3 ans",Performances!$4:$5,2,FALSE)="","-",HLOOKUP("Perf 3 ans",Performances!$4:$5,2,FALSE)/100)</f>
        <v>0.28253374000000003</v>
      </c>
      <c r="AC37" s="242"/>
      <c r="AD37" s="246">
        <f>IF(AB37="-","-",HLOOKUP("Vol 3 ans",Performances!$4:$5,2,FALSE)/100)</f>
        <v>4.3894320000000001E-2</v>
      </c>
      <c r="AE37" s="247"/>
      <c r="AF37" s="241">
        <f>IF(HLOOKUP("Perf 1 an",Performances!$4:$5,2,FALSE)="","-",HLOOKUP("Perf 1 an",Performances!$4:$5,2,FALSE)/100)</f>
        <v>6.6519209999999995E-2</v>
      </c>
      <c r="AG37" s="242"/>
      <c r="AH37" s="246">
        <f>IF(AF37="-","-",HLOOKUP("Vol 1 an",Performances!$4:$5,2,FALSE)/100)</f>
        <v>3.1228829999999999E-2</v>
      </c>
      <c r="AI37" s="247"/>
      <c r="AJ37" s="241">
        <f>IF(HLOOKUP("Perf YTD",Performances!$4:$5,2,FALSE)="","-",HLOOKUP("Perf YTD",Performances!$4:$5,2,FALSE)/100)</f>
        <v>3.6132110000000002E-2</v>
      </c>
      <c r="AK37" s="242"/>
      <c r="AL37" s="246">
        <f>IF(AJ37="-","-",HLOOKUP("Vol YTD",Performances!$4:$5,2,FALSE)/100)</f>
        <v>3.7477429999999999E-2</v>
      </c>
      <c r="AM37" s="247"/>
      <c r="AN37" s="302">
        <f>IF(HLOOKUP("Perf 6 mois",Performances!$4:$5,2,FALSE)="","-",HLOOKUP("Perf 6 mois",Performances!$4:$5,2,FALSE)/100)</f>
        <v>2.3023729999999999E-2</v>
      </c>
      <c r="AO37" s="216"/>
      <c r="AP37" s="215">
        <f>IF(HLOOKUP("Perf 3 mois",Performances!$4:$5,2,FALSE)="","-",HLOOKUP("Perf 3 mois",Performances!$4:$5,2,FALSE)/100)</f>
        <v>1.718884E-2</v>
      </c>
      <c r="AQ37" s="216"/>
    </row>
    <row r="38" spans="1:43" ht="15" customHeight="1" outlineLevel="1">
      <c r="A38" s="20" t="s">
        <v>133</v>
      </c>
      <c r="B38" s="21"/>
      <c r="C38" s="19"/>
      <c r="D38" s="19"/>
      <c r="E38" s="19"/>
      <c r="F38" s="33"/>
      <c r="G38" s="135"/>
      <c r="H38" s="133"/>
      <c r="I38" s="133"/>
      <c r="J38" s="287" t="str">
        <f>TEXT(HLOOKUP("Date de création",Caracteristik!$1:$2,2,FALSE),"jj/mm/aaaa")</f>
        <v>29/08/2017</v>
      </c>
      <c r="K38" s="288"/>
      <c r="L38" s="289"/>
      <c r="M38" s="3"/>
      <c r="N38" s="243" t="s">
        <v>155</v>
      </c>
      <c r="O38" s="244"/>
      <c r="P38" s="244"/>
      <c r="Q38" s="244"/>
      <c r="R38" s="244"/>
      <c r="S38" s="245"/>
      <c r="T38" s="231">
        <f>IF(T37="-","-",HLOOKUP("Perf création Indice",Performances!$27:$28,2,FALSE)/100)</f>
        <v>0.28572571000000002</v>
      </c>
      <c r="U38" s="232"/>
      <c r="V38" s="249">
        <f>IF(T37="-","-",HLOOKUP("Vol création Indice",Performances!$27:$28,2,FALSE)/100)</f>
        <v>6.7987359999999997E-2</v>
      </c>
      <c r="W38" s="250"/>
      <c r="X38" s="231">
        <f>IF(X37="-","-",HLOOKUP("Perf 5 ans",Performances!$8:$9,2,FALSE)/100)</f>
        <v>0.21965882</v>
      </c>
      <c r="Y38" s="232"/>
      <c r="Z38" s="249">
        <f>IF(X37="-","-",HLOOKUP("Vol 5 ans",Performances!$8:$9,2,FALSE)/100)</f>
        <v>4.672544E-2</v>
      </c>
      <c r="AA38" s="250"/>
      <c r="AB38" s="231">
        <f>IF(AB37="-","-",HLOOKUP("Perf 3 ans",Performances!$8:$9,2,FALSE)/100)</f>
        <v>0.26942018000000001</v>
      </c>
      <c r="AC38" s="232"/>
      <c r="AD38" s="249">
        <f>IF(AB37="-","-",HLOOKUP("Vol 3 ans",Performances!$8:$9,2,FALSE)/100)</f>
        <v>3.9174920000000002E-2</v>
      </c>
      <c r="AE38" s="250"/>
      <c r="AF38" s="231">
        <f>IF(AF37="-","-",HLOOKUP("Perf 1 an",Performances!$8:$9,2,FALSE)/100)</f>
        <v>6.7999619999999997E-2</v>
      </c>
      <c r="AG38" s="232"/>
      <c r="AH38" s="249">
        <f>IF(AF37="-","-",HLOOKUP("Vol 1 an",Performances!$8:9,2,FALSE)/100)</f>
        <v>2.6585269999999998E-2</v>
      </c>
      <c r="AI38" s="250"/>
      <c r="AJ38" s="231">
        <f>IF(AJ37="-","-",HLOOKUP("Perf YTD",Performances!$8:$9,2,FALSE)/100)</f>
        <v>3.977236E-2</v>
      </c>
      <c r="AK38" s="232"/>
      <c r="AL38" s="249">
        <f>IF(AJ37="-","-",HLOOKUP("Vol YTD",Performances!$8:$9,2,FALSE)/100)</f>
        <v>3.1214249999999999E-2</v>
      </c>
      <c r="AM38" s="250"/>
      <c r="AN38" s="260">
        <f>IF(AN37="-","-",HLOOKUP("Perf 6 mois",Performances!$8:$9,2,FALSE)/100)</f>
        <v>2.2541799999999997E-2</v>
      </c>
      <c r="AO38" s="252"/>
      <c r="AP38" s="251">
        <f>IF(AP37="-","-",HLOOKUP("Perf 3 mois",Performances!$8:$9,2,FALSE)/100)</f>
        <v>1.6802569999999999E-2</v>
      </c>
      <c r="AQ38" s="252"/>
    </row>
    <row r="39" spans="1:43" ht="15" customHeight="1" outlineLevel="1">
      <c r="A39" s="20" t="s">
        <v>134</v>
      </c>
      <c r="B39" s="37"/>
      <c r="C39" s="37"/>
      <c r="D39" s="37"/>
      <c r="E39" s="37"/>
      <c r="F39" s="38"/>
      <c r="G39" s="135"/>
      <c r="H39" s="133"/>
      <c r="I39" s="133"/>
      <c r="J39" s="133"/>
      <c r="K39" s="133"/>
      <c r="L39" s="195" t="str">
        <f>HLOOKUP("Horizon de placement",Caracteristik!$1:$2,2,FALSE)</f>
        <v>Over 3 years</v>
      </c>
      <c r="M39" s="3"/>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8" t="s">
        <v>161</v>
      </c>
    </row>
    <row r="40" spans="1:43" ht="15" customHeight="1" outlineLevel="1">
      <c r="A40" s="20" t="s">
        <v>135</v>
      </c>
      <c r="B40" s="21"/>
      <c r="C40" s="19"/>
      <c r="D40" s="19"/>
      <c r="E40" s="19"/>
      <c r="F40" s="33"/>
      <c r="G40" s="38"/>
      <c r="H40" s="38"/>
      <c r="I40" s="38"/>
      <c r="J40" s="38"/>
      <c r="K40" s="38"/>
      <c r="L40" s="195" t="str">
        <f>HLOOKUP("Périodicité de valorisation",Caracteristik!$1:$2,2,FALSE)</f>
        <v>Daily</v>
      </c>
      <c r="M40" s="3"/>
      <c r="N40" s="17"/>
      <c r="O40" s="25"/>
      <c r="P40" s="25"/>
      <c r="Q40" s="25"/>
      <c r="R40" s="25"/>
      <c r="S40" s="25"/>
      <c r="T40" s="25"/>
      <c r="U40" s="25"/>
      <c r="V40" s="25"/>
      <c r="W40" s="25"/>
      <c r="X40" s="1"/>
      <c r="Y40" s="1"/>
      <c r="Z40" s="1"/>
      <c r="AA40" s="1"/>
      <c r="AB40" s="25"/>
      <c r="AC40" s="25"/>
      <c r="AD40" s="25"/>
      <c r="AE40" s="25"/>
      <c r="AF40" s="25"/>
      <c r="AG40" s="25"/>
      <c r="AH40" s="25"/>
      <c r="AI40" s="25"/>
      <c r="AJ40" s="25"/>
      <c r="AK40" s="25"/>
      <c r="AL40" s="25"/>
      <c r="AM40" s="25"/>
      <c r="AN40" s="25"/>
      <c r="AO40" s="25"/>
      <c r="AP40" s="25"/>
      <c r="AQ40" s="1"/>
    </row>
    <row r="41" spans="1:43" ht="15" customHeight="1" outlineLevel="1">
      <c r="A41" s="20" t="s">
        <v>198</v>
      </c>
      <c r="B41" s="21"/>
      <c r="C41" s="19"/>
      <c r="D41" s="19"/>
      <c r="E41" s="19"/>
      <c r="F41" s="33"/>
      <c r="G41" s="33"/>
      <c r="H41" s="33"/>
      <c r="I41" s="33"/>
      <c r="J41" s="33"/>
      <c r="K41" s="34"/>
      <c r="L41" s="195" t="str">
        <f>CONCATENATE(HLOOKUP("Cut-off souscription",Caracteristik!$1:$2,2,FALSE)," at ",LEFT(HLOOKUP("Heure de cut-off souscription",Caracteristik!$1:$2,2,FALSE),2),"h")</f>
        <v>D - 1 at 12h</v>
      </c>
      <c r="M41" s="3"/>
      <c r="N41" s="17"/>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8"/>
    </row>
    <row r="42" spans="1:43" ht="15" customHeight="1" outlineLevel="1">
      <c r="A42" s="20" t="s">
        <v>199</v>
      </c>
      <c r="B42" s="21"/>
      <c r="C42" s="19"/>
      <c r="D42" s="19"/>
      <c r="E42" s="19"/>
      <c r="F42" s="33"/>
      <c r="G42" s="33"/>
      <c r="H42" s="33"/>
      <c r="I42" s="33"/>
      <c r="J42" s="33"/>
      <c r="K42" s="34"/>
      <c r="L42" s="195" t="str">
        <f>CONCATENATE(HLOOKUP("Cut-off rachat",Caracteristik!$1:$2,2,FALSE)," at ",LEFT(HLOOKUP("Heure de cut-off rachat",Caracteristik!$1:$2,2,FALSE),2),"h")</f>
        <v>D - 1 at 12h</v>
      </c>
      <c r="M42" s="3"/>
      <c r="N42" s="233" t="s">
        <v>144</v>
      </c>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5"/>
    </row>
    <row r="43" spans="1:43" ht="15" customHeight="1" outlineLevel="1">
      <c r="A43" s="20" t="s">
        <v>138</v>
      </c>
      <c r="B43" s="21"/>
      <c r="C43" s="19"/>
      <c r="D43" s="19"/>
      <c r="E43" s="19"/>
      <c r="F43" s="33"/>
      <c r="G43" s="35"/>
      <c r="H43" s="35"/>
      <c r="I43" s="35"/>
      <c r="J43" s="35"/>
      <c r="K43" s="35"/>
      <c r="L43" s="195" t="str">
        <f>HLOOKUP("Date de règlement-livraison",Caracteristik!$1:$2,2,FALSE)</f>
        <v>D+2</v>
      </c>
      <c r="M43" s="3"/>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5" customHeight="1" outlineLevel="1">
      <c r="A44" s="20" t="s">
        <v>136</v>
      </c>
      <c r="B44" s="21"/>
      <c r="C44" s="19"/>
      <c r="D44" s="19"/>
      <c r="E44" s="19"/>
      <c r="F44" s="33"/>
      <c r="G44" s="135"/>
      <c r="H44" s="134"/>
      <c r="I44" s="134"/>
      <c r="J44" s="134"/>
      <c r="K44" s="134"/>
      <c r="L44" s="195" t="str">
        <f>IF(HLOOKUP("Taux d'entrée acquis",Caracteristik!$1:$2,2,FALSE)=0,"None",CONCATENATE(LEFT(HLOOKUP("Taux d'entrée acquis",Caracteristik!$1:$2,2,FALSE),4),"% VAT Incl."))</f>
        <v>None</v>
      </c>
      <c r="M44" s="3"/>
      <c r="N44" s="253"/>
      <c r="O44" s="220"/>
      <c r="P44" s="220" t="s">
        <v>1</v>
      </c>
      <c r="Q44" s="220"/>
      <c r="R44" s="220" t="s">
        <v>145</v>
      </c>
      <c r="S44" s="220"/>
      <c r="T44" s="220" t="s">
        <v>146</v>
      </c>
      <c r="U44" s="220"/>
      <c r="V44" s="220" t="s">
        <v>147</v>
      </c>
      <c r="W44" s="220"/>
      <c r="X44" s="220" t="s">
        <v>150</v>
      </c>
      <c r="Y44" s="220"/>
      <c r="Z44" s="220" t="s">
        <v>148</v>
      </c>
      <c r="AA44" s="220"/>
      <c r="AB44" s="220" t="s">
        <v>149</v>
      </c>
      <c r="AC44" s="220"/>
      <c r="AD44" s="220" t="s">
        <v>182</v>
      </c>
      <c r="AE44" s="220"/>
      <c r="AF44" s="220" t="s">
        <v>151</v>
      </c>
      <c r="AG44" s="220"/>
      <c r="AH44" s="220" t="s">
        <v>2</v>
      </c>
      <c r="AI44" s="220"/>
      <c r="AJ44" s="220" t="s">
        <v>3</v>
      </c>
      <c r="AK44" s="220"/>
      <c r="AL44" s="220" t="s">
        <v>152</v>
      </c>
      <c r="AM44" s="220"/>
      <c r="AN44" s="220" t="s">
        <v>154</v>
      </c>
      <c r="AO44" s="220"/>
      <c r="AP44" s="224" t="s">
        <v>153</v>
      </c>
      <c r="AQ44" s="225"/>
    </row>
    <row r="45" spans="1:43" ht="15" customHeight="1" outlineLevel="1">
      <c r="A45" s="20" t="s">
        <v>137</v>
      </c>
      <c r="B45" s="21"/>
      <c r="C45" s="19"/>
      <c r="D45" s="19"/>
      <c r="E45" s="19"/>
      <c r="F45" s="33"/>
      <c r="G45" s="135"/>
      <c r="H45" s="134"/>
      <c r="I45" s="134"/>
      <c r="J45" s="134"/>
      <c r="K45" s="134"/>
      <c r="L45" s="195" t="str">
        <f>IF(HLOOKUP("Taux de sortie acquis",Caracteristik!$1:$2,2,FALSE)=0,"None",CONCATENATE(LEFT(HLOOKUP("Taux de sortie acquis",Caracteristik!$1:$2,2,FALSE),4),"% VAT Incl."))</f>
        <v>None</v>
      </c>
      <c r="M45" s="3"/>
      <c r="N45" s="236" t="str">
        <f>IF(Performances!A44="","",Performances!A44)</f>
        <v>2020</v>
      </c>
      <c r="O45" s="237"/>
      <c r="P45" s="210">
        <f>IF($N45="","",IF(INDEX(Performances!$43:$49,MATCH('Report (p1)'!$N45,Performances!$A$44:$A$49,0)+1,MATCH('Report (p1)'!P$44,Performances!$43:$43,0))="","",INDEX(Performances!$43:$49,MATCH('Report (p1)'!$N45,Performances!$A$44:$A$49,0)+1,MATCH('Report (p1)'!P$44,Performances!$43:$43,0))/100))</f>
        <v>-7.4598999999999998E-4</v>
      </c>
      <c r="Q45" s="210"/>
      <c r="R45" s="210">
        <f>IF($N45="","",IF(INDEX(Performances!$43:$49,MATCH('Report (p1)'!$N45,Performances!$A$44:$A$49,0)+1,MATCH('Report (p1)'!R$44,Performances!$43:$43,0))="","",INDEX(Performances!$43:$49,MATCH('Report (p1)'!$N45,Performances!$A$44:$A$49,0)+1,MATCH('Report (p1)'!R$44,Performances!$43:$43,0))/100))</f>
        <v>-1.791713E-2</v>
      </c>
      <c r="S45" s="210"/>
      <c r="T45" s="210">
        <f>IF($N45="","",IF(INDEX(Performances!$43:$49,MATCH('Report (p1)'!$N45,Performances!$A$44:$A$49,0)+1,MATCH('Report (p1)'!T$44,Performances!$43:$43,0))="","",INDEX(Performances!$43:$49,MATCH('Report (p1)'!$N45,Performances!$A$44:$A$49,0)+1,MATCH('Report (p1)'!T$44,Performances!$43:$43,0))/100))</f>
        <v>-0.11763588</v>
      </c>
      <c r="U45" s="210"/>
      <c r="V45" s="210">
        <f>IF($N45="","",IF(INDEX(Performances!$43:$49,MATCH('Report (p1)'!$N45,Performances!$A$44:$A$49,0)+1,MATCH('Report (p1)'!V$44,Performances!$43:$43,0))="","",INDEX(Performances!$43:$49,MATCH('Report (p1)'!$N45,Performances!$A$44:$A$49,0)+1,MATCH('Report (p1)'!V$44,Performances!$43:$43,0))/100))</f>
        <v>6.6013349999999998E-2</v>
      </c>
      <c r="W45" s="210"/>
      <c r="X45" s="210">
        <f>IF($N45="","",IF(INDEX(Performances!$43:$49,MATCH('Report (p1)'!$N45,Performances!$A$44:$A$49,0)+1,MATCH('Report (p1)'!X$44,Performances!$43:$43,0))="","",INDEX(Performances!$43:$49,MATCH('Report (p1)'!$N45,Performances!$A$44:$A$49,0)+1,MATCH('Report (p1)'!X$44,Performances!$43:$43,0))/100))</f>
        <v>2.353773E-2</v>
      </c>
      <c r="Y45" s="210"/>
      <c r="Z45" s="210">
        <f>IF($N45="","",IF(INDEX(Performances!$43:$49,MATCH('Report (p1)'!$N45,Performances!$A$44:$A$49,0)+1,MATCH('Report (p1)'!Z$44,Performances!$43:$43,0))="","",INDEX(Performances!$43:$49,MATCH('Report (p1)'!$N45,Performances!$A$44:$A$49,0)+1,MATCH('Report (p1)'!Z$44,Performances!$43:$43,0))/100))</f>
        <v>1.8456379999999998E-2</v>
      </c>
      <c r="AA45" s="210"/>
      <c r="AB45" s="210">
        <f>IF($N45="","",IF(INDEX(Performances!$43:$49,MATCH('Report (p1)'!$N45,Performances!$A$44:$A$49,0)+1,MATCH('Report (p1)'!AB$44,Performances!$43:$43,0))="","",INDEX(Performances!$43:$49,MATCH('Report (p1)'!$N45,Performances!$A$44:$A$49,0)+1,MATCH('Report (p1)'!AB$44,Performances!$43:$43,0))/100))</f>
        <v>1.56992E-2</v>
      </c>
      <c r="AC45" s="210"/>
      <c r="AD45" s="223" t="s">
        <v>219</v>
      </c>
      <c r="AE45" s="214"/>
      <c r="AF45" s="214">
        <f>IF($N45="","",IF(INDEX(Performances!$43:$49,MATCH('Report (p1)'!$N45,Performances!$A$44:$A$49,0)+1,MATCH('Report (p1)'!AF$44,Performances!$43:$43,0))="","",INDEX(Performances!$43:$49,MATCH('Report (p1)'!$N45,Performances!$A$44:$A$49,0)+1,MATCH('Report (p1)'!AF$44,Performances!$43:$43,0))/100))</f>
        <v>-1.09269E-2</v>
      </c>
      <c r="AG45" s="214"/>
      <c r="AH45" s="214">
        <f>IF($N45="","",IF(INDEX(Performances!$43:$49,MATCH('Report (p1)'!$N45,Performances!$A$44:$A$49,0)+1,MATCH('Report (p1)'!AH$44,Performances!$43:$43,0))="","",INDEX(Performances!$43:$49,MATCH('Report (p1)'!$N45,Performances!$A$44:$A$49,0)+1,MATCH('Report (p1)'!AH$44,Performances!$43:$43,0))/100))</f>
        <v>2.3809500000000002E-3</v>
      </c>
      <c r="AI45" s="214"/>
      <c r="AJ45" s="214">
        <f>IF($N45="","",IF(INDEX(Performances!$43:$49,MATCH('Report (p1)'!$N45,Performances!$A$44:$A$49,0)+1,MATCH('Report (p1)'!AJ$44,Performances!$43:$43,0))="","",INDEX(Performances!$43:$49,MATCH('Report (p1)'!$N45,Performances!$A$44:$A$49,0)+1,MATCH('Report (p1)'!AJ$44,Performances!$43:$43,0))/100))</f>
        <v>3.9429930000000002E-2</v>
      </c>
      <c r="AK45" s="214"/>
      <c r="AL45" s="214">
        <f>IF($N45="","",IF(INDEX(Performances!$43:$49,MATCH('Report (p1)'!$N45,Performances!$A$44:$A$49,0)+1,MATCH('Report (p1)'!AL$44,Performances!$43:$43,0))="","",INDEX(Performances!$43:$49,MATCH('Report (p1)'!$N45,Performances!$A$44:$A$49,0)+1,MATCH('Report (p1)'!AL$44,Performances!$43:$43,0))/100))</f>
        <v>1.0511879999999999E-2</v>
      </c>
      <c r="AM45" s="221"/>
      <c r="AN45" s="222" t="e">
        <f>IF($N45="","",HLOOKUP($N45,Performances!$13:$16,4,FALSE)/100)</f>
        <v>#N/A</v>
      </c>
      <c r="AO45" s="210"/>
      <c r="AP45" s="208">
        <f>IF($N45="","",HLOOKUP($N45,Performances!$18:$21,4,FALSE)/100)</f>
        <v>2.583734E-2</v>
      </c>
      <c r="AQ45" s="209"/>
    </row>
    <row r="46" spans="1:43" ht="15" customHeight="1" outlineLevel="1">
      <c r="A46" s="292" t="s">
        <v>139</v>
      </c>
      <c r="B46" s="293"/>
      <c r="C46" s="293"/>
      <c r="D46" s="293"/>
      <c r="E46" s="293"/>
      <c r="F46" s="296" t="str">
        <f>IF(HLOOKUP("Commissions de surperformance",Caracteristik!$1:$2,2,FALSE)=" ","None",HLOOKUP("Commissions de surperformance",Caracteristik!$1:$2,2,FALSE))</f>
        <v>None</v>
      </c>
      <c r="G46" s="296"/>
      <c r="H46" s="296"/>
      <c r="I46" s="296"/>
      <c r="J46" s="296"/>
      <c r="K46" s="296"/>
      <c r="L46" s="297"/>
      <c r="M46" s="3"/>
      <c r="N46" s="218" t="str">
        <f>IF(Performances!A45="","",Performances!A45)</f>
        <v>2021</v>
      </c>
      <c r="O46" s="219"/>
      <c r="P46" s="210">
        <f>IF($N46="","",IF(INDEX(Performances!$43:$49,MATCH('Report (p1)'!$N46,Performances!$A$44:$A$49,0)+1,MATCH('Report (p1)'!P$44,Performances!$43:$43,0))="","",INDEX(Performances!$43:$49,MATCH('Report (p1)'!$N46,Performances!$A$44:$A$49,0)+1,MATCH('Report (p1)'!P$44,Performances!$43:$43,0))/100))</f>
        <v>3.2564500000000001E-3</v>
      </c>
      <c r="Q46" s="210"/>
      <c r="R46" s="210">
        <f>IF($N46="","",IF(INDEX(Performances!$43:$49,MATCH('Report (p1)'!$N46,Performances!$A$44:$A$49,0)+1,MATCH('Report (p1)'!R$44,Performances!$43:$43,0))="","",INDEX(Performances!$43:$49,MATCH('Report (p1)'!$N46,Performances!$A$44:$A$49,0)+1,MATCH('Report (p1)'!R$44,Performances!$43:$43,0))/100))</f>
        <v>3.6966900000000003E-3</v>
      </c>
      <c r="S46" s="210"/>
      <c r="T46" s="210">
        <f>IF($N46="","",IF(INDEX(Performances!$43:$49,MATCH('Report (p1)'!$N46,Performances!$A$44:$A$49,0)+1,MATCH('Report (p1)'!T$44,Performances!$43:$43,0))="","",INDEX(Performances!$43:$49,MATCH('Report (p1)'!$N46,Performances!$A$44:$A$49,0)+1,MATCH('Report (p1)'!T$44,Performances!$43:$43,0))/100))</f>
        <v>7.0966600000000003E-3</v>
      </c>
      <c r="U46" s="210"/>
      <c r="V46" s="210">
        <f>IF($N46="","",IF(INDEX(Performances!$43:$49,MATCH('Report (p1)'!$N46,Performances!$A$44:$A$49,0)+1,MATCH('Report (p1)'!V$44,Performances!$43:$43,0))="","",INDEX(Performances!$43:$49,MATCH('Report (p1)'!$N46,Performances!$A$44:$A$49,0)+1,MATCH('Report (p1)'!V$44,Performances!$43:$43,0))/100))</f>
        <v>5.79788E-3</v>
      </c>
      <c r="W46" s="210"/>
      <c r="X46" s="210">
        <f>IF($N46="","",IF(INDEX(Performances!$43:$49,MATCH('Report (p1)'!$N46,Performances!$A$44:$A$49,0)+1,MATCH('Report (p1)'!X$44,Performances!$43:$43,0))="","",INDEX(Performances!$43:$49,MATCH('Report (p1)'!$N46,Performances!$A$44:$A$49,0)+1,MATCH('Report (p1)'!X$44,Performances!$43:$43,0))/100))</f>
        <v>4.4341999999999998E-4</v>
      </c>
      <c r="Y46" s="210"/>
      <c r="Z46" s="210">
        <f>IF($N46="","",IF(INDEX(Performances!$43:$49,MATCH('Report (p1)'!$N46,Performances!$A$44:$A$49,0)+1,MATCH('Report (p1)'!Z$44,Performances!$43:$43,0))="","",INDEX(Performances!$43:$49,MATCH('Report (p1)'!$N46,Performances!$A$44:$A$49,0)+1,MATCH('Report (p1)'!Z$44,Performances!$43:$43,0))/100))</f>
        <v>2.8366300000000001E-3</v>
      </c>
      <c r="AA46" s="210"/>
      <c r="AB46" s="210">
        <f>IF($N46="","",IF(INDEX(Performances!$43:$49,MATCH('Report (p1)'!$N46,Performances!$A$44:$A$49,0)+1,MATCH('Report (p1)'!AB$44,Performances!$43:$43,0))="","",INDEX(Performances!$43:$49,MATCH('Report (p1)'!$N46,Performances!$A$44:$A$49,0)+1,MATCH('Report (p1)'!AB$44,Performances!$43:$43,0))/100))</f>
        <v>1.5910900000000001E-3</v>
      </c>
      <c r="AC46" s="210"/>
      <c r="AD46" s="210">
        <f>IF($N46="","",IF(INDEX(Performances!$43:$49,MATCH('Report (p1)'!$N46,Performances!$A$44:$A$49,0)+1,MATCH('Report (p1)'!AD$44,Performances!$43:$43,0))="","",INDEX(Performances!$43:$49,MATCH('Report (p1)'!$N46,Performances!$A$44:$A$49,0)+1,MATCH('Report (p1)'!AD$44,Performances!$43:$43,0))/100))</f>
        <v>2.11808E-3</v>
      </c>
      <c r="AE46" s="210"/>
      <c r="AF46" s="210">
        <f>IF($N46="","",IF(INDEX(Performances!$43:$49,MATCH('Report (p1)'!$N46,Performances!$A$44:$A$49,0)+1,MATCH('Report (p1)'!AF$44,Performances!$43:$43,0))="","",INDEX(Performances!$43:$49,MATCH('Report (p1)'!$N46,Performances!$A$44:$A$49,0)+1,MATCH('Report (p1)'!AF$44,Performances!$43:$43,0))/100))</f>
        <v>6.1647000000000004E-4</v>
      </c>
      <c r="AG46" s="210"/>
      <c r="AH46" s="210">
        <f>IF($N46="","",IF(INDEX(Performances!$43:$49,MATCH('Report (p1)'!$N46,Performances!$A$44:$A$49,0)+1,MATCH('Report (p1)'!AH$44,Performances!$43:$43,0))="","",INDEX(Performances!$43:$49,MATCH('Report (p1)'!$N46,Performances!$A$44:$A$49,0)+1,MATCH('Report (p1)'!AH$44,Performances!$43:$43,0))/100))</f>
        <v>-6.1608899999999996E-3</v>
      </c>
      <c r="AI46" s="210"/>
      <c r="AJ46" s="210">
        <f>IF($N46="","",IF(INDEX(Performances!$43:$49,MATCH('Report (p1)'!$N46,Performances!$A$44:$A$49,0)+1,MATCH('Report (p1)'!AJ$44,Performances!$43:$43,0))="","",INDEX(Performances!$43:$49,MATCH('Report (p1)'!$N46,Performances!$A$44:$A$49,0)+1,MATCH('Report (p1)'!AJ$44,Performances!$43:$43,0))/100))</f>
        <v>-5.6677299999999993E-3</v>
      </c>
      <c r="AK46" s="210"/>
      <c r="AL46" s="210">
        <f>IF($N46="","",IF(INDEX(Performances!$43:$49,MATCH('Report (p1)'!$N46,Performances!$A$44:$A$49,0)+1,MATCH('Report (p1)'!AL$44,Performances!$43:$43,0))="","",INDEX(Performances!$43:$49,MATCH('Report (p1)'!$N46,Performances!$A$44:$A$49,0)+1,MATCH('Report (p1)'!AL$44,Performances!$43:$43,0))/100))</f>
        <v>1.211258E-2</v>
      </c>
      <c r="AM46" s="248"/>
      <c r="AN46" s="222">
        <f>IF($N46="","",HLOOKUP($N46,Performances!$13:$16,4,FALSE)/100)</f>
        <v>2.7951150000000001E-2</v>
      </c>
      <c r="AO46" s="210"/>
      <c r="AP46" s="208">
        <f>IF($N46="","",HLOOKUP($N46,Performances!$18:$21,4,FALSE)/100)</f>
        <v>3.489076E-2</v>
      </c>
      <c r="AQ46" s="209"/>
    </row>
    <row r="47" spans="1:43" ht="15" customHeight="1" outlineLevel="1">
      <c r="A47" s="292"/>
      <c r="B47" s="293"/>
      <c r="C47" s="293"/>
      <c r="D47" s="293"/>
      <c r="E47" s="293"/>
      <c r="F47" s="296"/>
      <c r="G47" s="296"/>
      <c r="H47" s="296"/>
      <c r="I47" s="296"/>
      <c r="J47" s="296"/>
      <c r="K47" s="296"/>
      <c r="L47" s="297"/>
      <c r="M47" s="3"/>
      <c r="N47" s="218" t="str">
        <f>IF(Performances!A46="","",Performances!A46)</f>
        <v>2022</v>
      </c>
      <c r="O47" s="219"/>
      <c r="P47" s="210">
        <f>IF($N47="","",IF(INDEX(Performances!$43:$49,MATCH('Report (p1)'!$N47,Performances!$A$44:$A$49,0)+1,MATCH('Report (p1)'!P$44,Performances!$43:$43,0))="","",INDEX(Performances!$43:$49,MATCH('Report (p1)'!$N47,Performances!$A$44:$A$49,0)+1,MATCH('Report (p1)'!P$44,Performances!$43:$43,0))/100))</f>
        <v>-1.7599440000000001E-2</v>
      </c>
      <c r="Q47" s="210"/>
      <c r="R47" s="210">
        <f>IF($N47="","",IF(INDEX(Performances!$43:$49,MATCH('Report (p1)'!$N47,Performances!$A$44:$A$49,0)+1,MATCH('Report (p1)'!R$44,Performances!$43:$43,0))="","",INDEX(Performances!$43:$49,MATCH('Report (p1)'!$N47,Performances!$A$44:$A$49,0)+1,MATCH('Report (p1)'!R$44,Performances!$43:$43,0))/100))</f>
        <v>-3.0902900000000001E-2</v>
      </c>
      <c r="S47" s="210"/>
      <c r="T47" s="210">
        <f>IF($N47="","",IF(INDEX(Performances!$43:$49,MATCH('Report (p1)'!$N47,Performances!$A$44:$A$49,0)+1,MATCH('Report (p1)'!T$44,Performances!$43:$43,0))="","",INDEX(Performances!$43:$49,MATCH('Report (p1)'!$N47,Performances!$A$44:$A$49,0)+1,MATCH('Report (p1)'!T$44,Performances!$43:$43,0))/100))</f>
        <v>1.0537019999999999E-2</v>
      </c>
      <c r="U47" s="210"/>
      <c r="V47" s="210">
        <f>IF($N47="","",IF(INDEX(Performances!$43:$49,MATCH('Report (p1)'!$N47,Performances!$A$44:$A$49,0)+1,MATCH('Report (p1)'!V$44,Performances!$43:$43,0))="","",INDEX(Performances!$43:$49,MATCH('Report (p1)'!$N47,Performances!$A$44:$A$49,0)+1,MATCH('Report (p1)'!V$44,Performances!$43:$43,0))/100))</f>
        <v>-3.2196099999999998E-2</v>
      </c>
      <c r="W47" s="210"/>
      <c r="X47" s="210">
        <f>IF($N47="","",IF(INDEX(Performances!$43:$49,MATCH('Report (p1)'!$N47,Performances!$A$44:$A$49,0)+1,MATCH('Report (p1)'!X$44,Performances!$43:$43,0))="","",INDEX(Performances!$43:$49,MATCH('Report (p1)'!$N47,Performances!$A$44:$A$49,0)+1,MATCH('Report (p1)'!X$44,Performances!$43:$43,0))/100))</f>
        <v>-9.8289400000000013E-3</v>
      </c>
      <c r="Y47" s="210"/>
      <c r="Z47" s="210">
        <f>IF($N47="","",IF(INDEX(Performances!$43:$49,MATCH('Report (p1)'!$N47,Performances!$A$44:$A$49,0)+1,MATCH('Report (p1)'!Z$44,Performances!$43:$43,0))="","",INDEX(Performances!$43:$49,MATCH('Report (p1)'!$N47,Performances!$A$44:$A$49,0)+1,MATCH('Report (p1)'!Z$44,Performances!$43:$43,0))/100))</f>
        <v>-8.2657250000000002E-2</v>
      </c>
      <c r="AA47" s="210"/>
      <c r="AB47" s="210">
        <f>IF($N47="","",IF(INDEX(Performances!$43:$49,MATCH('Report (p1)'!$N47,Performances!$A$44:$A$49,0)+1,MATCH('Report (p1)'!AB$44,Performances!$43:$43,0))="","",INDEX(Performances!$43:$49,MATCH('Report (p1)'!$N47,Performances!$A$44:$A$49,0)+1,MATCH('Report (p1)'!AB$44,Performances!$43:$43,0))/100))</f>
        <v>5.6185619999999999E-2</v>
      </c>
      <c r="AC47" s="210"/>
      <c r="AD47" s="210">
        <f>IF($N47="","",IF(INDEX(Performances!$43:$49,MATCH('Report (p1)'!$N47,Performances!$A$44:$A$49,0)+1,MATCH('Report (p1)'!AD$44,Performances!$43:$43,0))="","",INDEX(Performances!$43:$49,MATCH('Report (p1)'!$N47,Performances!$A$44:$A$49,0)+1,MATCH('Report (p1)'!AD$44,Performances!$43:$43,0))/100))</f>
        <v>-7.2899200000000001E-3</v>
      </c>
      <c r="AE47" s="210"/>
      <c r="AF47" s="210">
        <f>IF($N47="","",IF(INDEX(Performances!$43:$49,MATCH('Report (p1)'!$N47,Performances!$A$44:$A$49,0)+1,MATCH('Report (p1)'!AF$44,Performances!$43:$43,0))="","",INDEX(Performances!$43:$49,MATCH('Report (p1)'!$N47,Performances!$A$44:$A$49,0)+1,MATCH('Report (p1)'!AF$44,Performances!$43:$43,0))/100))</f>
        <v>-3.9793590000000004E-2</v>
      </c>
      <c r="AG47" s="210"/>
      <c r="AH47" s="210">
        <f>IF($N47="","",IF(INDEX(Performances!$43:$49,MATCH('Report (p1)'!$N47,Performances!$A$44:$A$49,0)+1,MATCH('Report (p1)'!AH$44,Performances!$43:$43,0))="","",INDEX(Performances!$43:$49,MATCH('Report (p1)'!$N47,Performances!$A$44:$A$49,0)+1,MATCH('Report (p1)'!AH$44,Performances!$43:$43,0))/100))</f>
        <v>2.149649E-2</v>
      </c>
      <c r="AI47" s="210"/>
      <c r="AJ47" s="210">
        <f>IF($N47="","",IF(INDEX(Performances!$43:$49,MATCH('Report (p1)'!$N47,Performances!$A$44:$A$49,0)+1,MATCH('Report (p1)'!AJ$44,Performances!$43:$43,0))="","",INDEX(Performances!$43:$49,MATCH('Report (p1)'!$N47,Performances!$A$44:$A$49,0)+1,MATCH('Report (p1)'!AJ$44,Performances!$43:$43,0))/100))</f>
        <v>4.390935E-2</v>
      </c>
      <c r="AK47" s="210"/>
      <c r="AL47" s="210">
        <f>IF($N47="","",IF(INDEX(Performances!$43:$49,MATCH('Report (p1)'!$N47,Performances!$A$44:$A$49,0)+1,MATCH('Report (p1)'!AL$44,Performances!$43:$43,0))="","",INDEX(Performances!$43:$49,MATCH('Report (p1)'!$N47,Performances!$A$44:$A$49,0)+1,MATCH('Report (p1)'!AL$44,Performances!$43:$43,0))/100))</f>
        <v>-3.9736399999999996E-3</v>
      </c>
      <c r="AM47" s="248"/>
      <c r="AN47" s="222">
        <f>IF($N47="","",HLOOKUP($N47,Performances!$13:$16,4,FALSE)/100)</f>
        <v>-9.5652939999999992E-2</v>
      </c>
      <c r="AO47" s="210"/>
      <c r="AP47" s="208">
        <f>IF($N47="","",HLOOKUP($N47,Performances!$18:$21,4,FALSE)/100)</f>
        <v>-0.11156803</v>
      </c>
      <c r="AQ47" s="209"/>
    </row>
    <row r="48" spans="1:43" ht="15" customHeight="1" outlineLevel="1">
      <c r="A48" s="20" t="s">
        <v>261</v>
      </c>
      <c r="B48" s="28"/>
      <c r="C48" s="28"/>
      <c r="D48" s="28"/>
      <c r="E48" s="28"/>
      <c r="F48" s="36"/>
      <c r="G48" s="135"/>
      <c r="H48" s="199"/>
      <c r="I48" s="199"/>
      <c r="J48" s="199"/>
      <c r="K48" s="199"/>
      <c r="L48" s="200">
        <v>9.1000000000000004E-3</v>
      </c>
      <c r="M48" s="3"/>
      <c r="N48" s="218" t="str">
        <f>IF(Performances!A47="","",Performances!A47)</f>
        <v>2023</v>
      </c>
      <c r="O48" s="219"/>
      <c r="P48" s="210">
        <f>IF($N48="","",IF(INDEX(Performances!$43:$49,MATCH('Report (p1)'!$N48,Performances!$A$44:$A$49,0)+1,MATCH('Report (p1)'!P$44,Performances!$43:$43,0))="","",INDEX(Performances!$43:$49,MATCH('Report (p1)'!$N48,Performances!$A$44:$A$49,0)+1,MATCH('Report (p1)'!P$44,Performances!$43:$43,0))/100))</f>
        <v>3.0359050000000002E-2</v>
      </c>
      <c r="Q48" s="210"/>
      <c r="R48" s="210">
        <f>IF($N48="","",IF(INDEX(Performances!$43:$49,MATCH('Report (p1)'!$N48,Performances!$A$44:$A$49,0)+1,MATCH('Report (p1)'!R$44,Performances!$43:$43,0))="","",INDEX(Performances!$43:$49,MATCH('Report (p1)'!$N48,Performances!$A$44:$A$49,0)+1,MATCH('Report (p1)'!R$44,Performances!$43:$43,0))/100))</f>
        <v>-1.5110000000000002E-3</v>
      </c>
      <c r="S48" s="210"/>
      <c r="T48" s="210">
        <f>IF($N48="","",IF(INDEX(Performances!$43:$49,MATCH('Report (p1)'!$N48,Performances!$A$44:$A$49,0)+1,MATCH('Report (p1)'!T$44,Performances!$43:$43,0))="","",INDEX(Performances!$43:$49,MATCH('Report (p1)'!$N48,Performances!$A$44:$A$49,0)+1,MATCH('Report (p1)'!T$44,Performances!$43:$43,0))/100))</f>
        <v>3.3103199999999998E-3</v>
      </c>
      <c r="U48" s="210"/>
      <c r="V48" s="210">
        <f>IF($N48="","",IF(INDEX(Performances!$43:$49,MATCH('Report (p1)'!$N48,Performances!$A$44:$A$49,0)+1,MATCH('Report (p1)'!V$44,Performances!$43:$43,0))="","",INDEX(Performances!$43:$49,MATCH('Report (p1)'!$N48,Performances!$A$44:$A$49,0)+1,MATCH('Report (p1)'!V$44,Performances!$43:$43,0))/100))</f>
        <v>4.0535399999999996E-3</v>
      </c>
      <c r="W48" s="210"/>
      <c r="X48" s="210">
        <f>IF($N48="","",IF(INDEX(Performances!$43:$49,MATCH('Report (p1)'!$N48,Performances!$A$44:$A$49,0)+1,MATCH('Report (p1)'!X$44,Performances!$43:$43,0))="","",INDEX(Performances!$43:$49,MATCH('Report (p1)'!$N48,Performances!$A$44:$A$49,0)+1,MATCH('Report (p1)'!X$44,Performances!$43:$43,0))/100))</f>
        <v>6.2904899999999993E-3</v>
      </c>
      <c r="Y48" s="210"/>
      <c r="Z48" s="210">
        <f>IF($N48="","",IF(INDEX(Performances!$43:$49,MATCH('Report (p1)'!$N48,Performances!$A$44:$A$49,0)+1,MATCH('Report (p1)'!Z$44,Performances!$43:$43,0))="","",INDEX(Performances!$43:$49,MATCH('Report (p1)'!$N48,Performances!$A$44:$A$49,0)+1,MATCH('Report (p1)'!Z$44,Performances!$43:$43,0))/100))</f>
        <v>1.1102819999999999E-2</v>
      </c>
      <c r="AA48" s="210"/>
      <c r="AB48" s="210">
        <f>IF($N48="","",IF(INDEX(Performances!$43:$49,MATCH('Report (p1)'!$N48,Performances!$A$44:$A$49,0)+1,MATCH('Report (p1)'!AB$44,Performances!$43:$43,0))="","",INDEX(Performances!$43:$49,MATCH('Report (p1)'!$N48,Performances!$A$44:$A$49,0)+1,MATCH('Report (p1)'!AB$44,Performances!$43:$43,0))/100))</f>
        <v>1.282643E-2</v>
      </c>
      <c r="AC48" s="210"/>
      <c r="AD48" s="210">
        <f>IF($N48="","",IF(INDEX(Performances!$43:$49,MATCH('Report (p1)'!$N48,Performances!$A$44:$A$49,0)+1,MATCH('Report (p1)'!AD$44,Performances!$43:$43,0))="","",INDEX(Performances!$43:$49,MATCH('Report (p1)'!$N48,Performances!$A$44:$A$49,0)+1,MATCH('Report (p1)'!AD$44,Performances!$43:$43,0))/100))</f>
        <v>-1.1843999999999999E-3</v>
      </c>
      <c r="AE48" s="210"/>
      <c r="AF48" s="210">
        <f>IF($N48="","",IF(INDEX(Performances!$43:$49,MATCH('Report (p1)'!$N48,Performances!$A$44:$A$49,0)+1,MATCH('Report (p1)'!AF$44,Performances!$43:$43,0))="","",INDEX(Performances!$43:$49,MATCH('Report (p1)'!$N48,Performances!$A$44:$A$49,0)+1,MATCH('Report (p1)'!AF$44,Performances!$43:$43,0))/100))</f>
        <v>-2.55405E-3</v>
      </c>
      <c r="AG48" s="210"/>
      <c r="AH48" s="210">
        <f>IF($N48="","",IF(INDEX(Performances!$43:$49,MATCH('Report (p1)'!$N48,Performances!$A$44:$A$49,0)+1,MATCH('Report (p1)'!AH$44,Performances!$43:$43,0))="","",INDEX(Performances!$43:$49,MATCH('Report (p1)'!$N48,Performances!$A$44:$A$49,0)+1,MATCH('Report (p1)'!AH$44,Performances!$43:$43,0))/100))</f>
        <v>-3.4750799999999997E-3</v>
      </c>
      <c r="AI48" s="210"/>
      <c r="AJ48" s="210">
        <f>IF($N48="","",IF(INDEX(Performances!$43:$49,MATCH('Report (p1)'!$N48,Performances!$A$44:$A$49,0)+1,MATCH('Report (p1)'!AJ$44,Performances!$43:$43,0))="","",INDEX(Performances!$43:$49,MATCH('Report (p1)'!$N48,Performances!$A$44:$A$49,0)+1,MATCH('Report (p1)'!AJ$44,Performances!$43:$43,0))/100))</f>
        <v>3.5147289999999998E-2</v>
      </c>
      <c r="AK48" s="210"/>
      <c r="AL48" s="210">
        <f>IF($N48="","",IF(INDEX(Performances!$43:$49,MATCH('Report (p1)'!$N48,Performances!$A$44:$A$49,0)+1,MATCH('Report (p1)'!AL$44,Performances!$43:$43,0))="","",INDEX(Performances!$43:$49,MATCH('Report (p1)'!$N48,Performances!$A$44:$A$49,0)+1,MATCH('Report (p1)'!AL$44,Performances!$43:$43,0))/100))</f>
        <v>2.863475E-2</v>
      </c>
      <c r="AM48" s="248"/>
      <c r="AN48" s="222">
        <f>IF($N48="","",HLOOKUP($N48,Performances!$13:$16,4,FALSE)/100)</f>
        <v>0.12902597999999998</v>
      </c>
      <c r="AO48" s="210"/>
      <c r="AP48" s="208">
        <f>IF($N48="","",HLOOKUP($N48,Performances!$18:$21,4,FALSE)/100)</f>
        <v>0.12084180999999999</v>
      </c>
      <c r="AQ48" s="209"/>
    </row>
    <row r="49" spans="1:43" ht="15" customHeight="1" outlineLevel="1">
      <c r="A49" s="20" t="s">
        <v>140</v>
      </c>
      <c r="B49" s="21"/>
      <c r="C49" s="19"/>
      <c r="D49" s="135"/>
      <c r="E49" s="134"/>
      <c r="F49" s="134"/>
      <c r="G49" s="134"/>
      <c r="H49" s="134"/>
      <c r="I49" s="134"/>
      <c r="J49" s="134"/>
      <c r="K49" s="134"/>
      <c r="L49" s="195" t="str">
        <f>HLOOKUP("Dépositaire",Caracteristik!$1:$2,2,FALSE)</f>
        <v>SOCIETE GENERALE PARIS</v>
      </c>
      <c r="M49" s="3"/>
      <c r="N49" s="218" t="str">
        <f>IF(Performances!A48="","",Performances!A48)</f>
        <v>2024</v>
      </c>
      <c r="O49" s="219"/>
      <c r="P49" s="210">
        <f>IF($N49="","",IF(INDEX(Performances!$43:$49,MATCH('Report (p1)'!$N49,Performances!$A$44:$A$49,0)+1,MATCH('Report (p1)'!P$44,Performances!$43:$43,0))="","",INDEX(Performances!$43:$49,MATCH('Report (p1)'!$N49,Performances!$A$44:$A$49,0)+1,MATCH('Report (p1)'!P$44,Performances!$43:$43,0))/100))</f>
        <v>6.8085799999999998E-3</v>
      </c>
      <c r="Q49" s="210"/>
      <c r="R49" s="210">
        <f>IF($N49="","",IF(INDEX(Performances!$43:$49,MATCH('Report (p1)'!$N49,Performances!$A$44:$A$49,0)+1,MATCH('Report (p1)'!R$44,Performances!$43:$43,0))="","",INDEX(Performances!$43:$49,MATCH('Report (p1)'!$N49,Performances!$A$44:$A$49,0)+1,MATCH('Report (p1)'!R$44,Performances!$43:$43,0))/100))</f>
        <v>2.3112499999999999E-3</v>
      </c>
      <c r="S49" s="210"/>
      <c r="T49" s="210">
        <f>IF($N49="","",IF(INDEX(Performances!$43:$49,MATCH('Report (p1)'!$N49,Performances!$A$44:$A$49,0)+1,MATCH('Report (p1)'!T$44,Performances!$43:$43,0))="","",INDEX(Performances!$43:$49,MATCH('Report (p1)'!$N49,Performances!$A$44:$A$49,0)+1,MATCH('Report (p1)'!T$44,Performances!$43:$43,0))/100))</f>
        <v>7.2593700000000002E-3</v>
      </c>
      <c r="U49" s="210"/>
      <c r="V49" s="210">
        <f>IF($N49="","",IF(INDEX(Performances!$43:$49,MATCH('Report (p1)'!$N49,Performances!$A$44:$A$49,0)+1,MATCH('Report (p1)'!V$44,Performances!$43:$43,0))="","",INDEX(Performances!$43:$49,MATCH('Report (p1)'!$N49,Performances!$A$44:$A$49,0)+1,MATCH('Report (p1)'!V$44,Performances!$43:$43,0))/100))</f>
        <v>-2.0349299999999999E-3</v>
      </c>
      <c r="W49" s="210"/>
      <c r="X49" s="210">
        <f>IF($N49="","",IF(INDEX(Performances!$43:$49,MATCH('Report (p1)'!$N49,Performances!$A$44:$A$49,0)+1,MATCH('Report (p1)'!X$44,Performances!$43:$43,0))="","",INDEX(Performances!$43:$49,MATCH('Report (p1)'!$N49,Performances!$A$44:$A$49,0)+1,MATCH('Report (p1)'!X$44,Performances!$43:$43,0))/100))</f>
        <v>9.0909100000000007E-3</v>
      </c>
      <c r="Y49" s="210"/>
      <c r="Z49" s="210">
        <f>IF($N49="","",IF(INDEX(Performances!$43:$49,MATCH('Report (p1)'!$N49,Performances!$A$44:$A$49,0)+1,MATCH('Report (p1)'!Z$44,Performances!$43:$43,0))="","",INDEX(Performances!$43:$49,MATCH('Report (p1)'!$N49,Performances!$A$44:$A$49,0)+1,MATCH('Report (p1)'!Z$44,Performances!$43:$43,0))/100))</f>
        <v>3.7046400000000004E-3</v>
      </c>
      <c r="AA49" s="210"/>
      <c r="AB49" s="210">
        <f>IF($N49="","",IF(INDEX(Performances!$43:$49,MATCH('Report (p1)'!$N49,Performances!$A$44:$A$49,0)+1,MATCH('Report (p1)'!AB$44,Performances!$43:$43,0))="","",INDEX(Performances!$43:$49,MATCH('Report (p1)'!$N49,Performances!$A$44:$A$49,0)+1,MATCH('Report (p1)'!AB$44,Performances!$43:$43,0))/100))</f>
        <v>1.3673349999999999E-2</v>
      </c>
      <c r="AC49" s="210"/>
      <c r="AD49" s="210">
        <f>IF($N49="","",IF(INDEX(Performances!$43:$49,MATCH('Report (p1)'!$N49,Performances!$A$44:$A$49,0)+1,MATCH('Report (p1)'!AD$44,Performances!$43:$43,0))="","",INDEX(Performances!$43:$49,MATCH('Report (p1)'!$N49,Performances!$A$44:$A$49,0)+1,MATCH('Report (p1)'!AD$44,Performances!$43:$43,0))/100))</f>
        <v>1.017875E-2</v>
      </c>
      <c r="AE49" s="210"/>
      <c r="AF49" s="210">
        <f>IF($N49="","",IF(INDEX(Performances!$43:$49,MATCH('Report (p1)'!$N49,Performances!$A$44:$A$49,0)+1,MATCH('Report (p1)'!AF$44,Performances!$43:$43,0))="","",INDEX(Performances!$43:$49,MATCH('Report (p1)'!$N49,Performances!$A$44:$A$49,0)+1,MATCH('Report (p1)'!AF$44,Performances!$43:$43,0))/100))</f>
        <v>8.765460000000001E-3</v>
      </c>
      <c r="AG49" s="210"/>
      <c r="AH49" s="210">
        <f>IF($N49="","",IF(INDEX(Performances!$43:$49,MATCH('Report (p1)'!$N49,Performances!$A$44:$A$49,0)+1,MATCH('Report (p1)'!AH$44,Performances!$43:$43,0))="","",INDEX(Performances!$43:$49,MATCH('Report (p1)'!$N49,Performances!$A$44:$A$49,0)+1,MATCH('Report (p1)'!AH$44,Performances!$43:$43,0))/100))</f>
        <v>5.5221699999999999E-3</v>
      </c>
      <c r="AI49" s="210"/>
      <c r="AJ49" s="210">
        <f>IF($N49="","",IF(INDEX(Performances!$43:$49,MATCH('Report (p1)'!$N49,Performances!$A$44:$A$49,0)+1,MATCH('Report (p1)'!AJ$44,Performances!$43:$43,0))="","",INDEX(Performances!$43:$49,MATCH('Report (p1)'!$N49,Performances!$A$44:$A$49,0)+1,MATCH('Report (p1)'!AJ$44,Performances!$43:$43,0))/100))</f>
        <v>6.7032800000000007E-3</v>
      </c>
      <c r="AK49" s="210"/>
      <c r="AL49" s="210">
        <f>IF($N49="","",IF(INDEX(Performances!$43:$49,MATCH('Report (p1)'!$N49,Performances!$A$44:$A$49,0)+1,MATCH('Report (p1)'!AL$44,Performances!$43:$43,0))="","",INDEX(Performances!$43:$49,MATCH('Report (p1)'!$N49,Performances!$A$44:$A$49,0)+1,MATCH('Report (p1)'!AL$44,Performances!$43:$43,0))/100))</f>
        <v>8.0224600000000004E-3</v>
      </c>
      <c r="AM49" s="248"/>
      <c r="AN49" s="222">
        <f>IF($N49="","",HLOOKUP($N49,Performances!$13:$16,4,FALSE)/100)</f>
        <v>8.2909590000000005E-2</v>
      </c>
      <c r="AO49" s="210"/>
      <c r="AP49" s="208">
        <f>IF($N49="","",HLOOKUP($N49,Performances!$18:$21,4,FALSE)/100)</f>
        <v>8.4613800000000003E-2</v>
      </c>
      <c r="AQ49" s="209"/>
    </row>
    <row r="50" spans="1:43" ht="15" customHeight="1" outlineLevel="1">
      <c r="A50" s="24" t="s">
        <v>183</v>
      </c>
      <c r="B50" s="22"/>
      <c r="C50" s="23"/>
      <c r="D50" s="147"/>
      <c r="E50" s="147"/>
      <c r="F50" s="147"/>
      <c r="G50" s="147"/>
      <c r="H50" s="147"/>
      <c r="I50" s="147"/>
      <c r="J50" s="147"/>
      <c r="K50" s="147"/>
      <c r="L50" s="148" t="str">
        <f>LEFT(HLOOKUP("Valorisateur",Caracteristik!$1:$2,2,FALSE),36)</f>
        <v>SOCIETE GENERALE SECURITIES SERVICES</v>
      </c>
      <c r="M50" s="3"/>
      <c r="N50" s="226" t="str">
        <f>IF(Performances!A49="","",Performances!A49)</f>
        <v>2025</v>
      </c>
      <c r="O50" s="227"/>
      <c r="P50" s="217">
        <f>IF($N50="","",IF(INDEX(Performances!$43:$49,MATCH('Report (p1)'!$N50,Performances!$A$44:$A$49,0)+1,MATCH('Report (p1)'!P$44,Performances!$43:$43,0))="","",INDEX(Performances!$43:$49,MATCH('Report (p1)'!$N50,Performances!$A$44:$A$49,0)+1,MATCH('Report (p1)'!P$44,Performances!$43:$43,0))/100))</f>
        <v>3.10386E-3</v>
      </c>
      <c r="Q50" s="217"/>
      <c r="R50" s="217">
        <f>IF($N50="","",IF(INDEX(Performances!$43:$49,MATCH('Report (p1)'!$N50,Performances!$A$44:$A$49,0)+1,MATCH('Report (p1)'!R$44,Performances!$43:$43,0))="","",INDEX(Performances!$43:$49,MATCH('Report (p1)'!$N50,Performances!$A$44:$A$49,0)+1,MATCH('Report (p1)'!R$44,Performances!$43:$43,0))/100))</f>
        <v>9.6794700000000008E-3</v>
      </c>
      <c r="S50" s="217"/>
      <c r="T50" s="217">
        <f>IF($N50="","",IF(INDEX(Performances!$43:$49,MATCH('Report (p1)'!$N50,Performances!$A$44:$A$49,0)+1,MATCH('Report (p1)'!T$44,Performances!$43:$43,0))="","",INDEX(Performances!$43:$49,MATCH('Report (p1)'!$N50,Performances!$A$44:$A$49,0)+1,MATCH('Report (p1)'!T$44,Performances!$43:$43,0))/100))</f>
        <v>-1.6423069999999998E-2</v>
      </c>
      <c r="U50" s="217"/>
      <c r="V50" s="217">
        <f>IF($N50="","",IF(INDEX(Performances!$43:$49,MATCH('Report (p1)'!$N50,Performances!$A$44:$A$49,0)+1,MATCH('Report (p1)'!V$44,Performances!$43:$43,0))="","",INDEX(Performances!$43:$49,MATCH('Report (p1)'!$N50,Performances!$A$44:$A$49,0)+1,MATCH('Report (p1)'!V$44,Performances!$43:$43,0))/100))</f>
        <v>8.3087000000000005E-3</v>
      </c>
      <c r="W50" s="217"/>
      <c r="X50" s="217">
        <f>IF($N50="","",IF(INDEX(Performances!$43:$49,MATCH('Report (p1)'!$N50,Performances!$A$44:$A$49,0)+1,MATCH('Report (p1)'!X$44,Performances!$43:$43,0))="","",INDEX(Performances!$43:$49,MATCH('Report (p1)'!$N50,Performances!$A$44:$A$49,0)+1,MATCH('Report (p1)'!X$44,Performances!$43:$43,0))/100))</f>
        <v>1.410348E-2</v>
      </c>
      <c r="Y50" s="217"/>
      <c r="Z50" s="217">
        <f>IF($N50="","",IF(INDEX(Performances!$43:$49,MATCH('Report (p1)'!$N50,Performances!$A$44:$A$49,0)+1,MATCH('Report (p1)'!Z$44,Performances!$43:$43,0))="","",INDEX(Performances!$43:$49,MATCH('Report (p1)'!$N50,Performances!$A$44:$A$49,0)+1,MATCH('Report (p1)'!Z$44,Performances!$43:$43,0))/100))</f>
        <v>4.6097400000000002E-3</v>
      </c>
      <c r="AA50" s="217"/>
      <c r="AB50" s="217">
        <f>IF($N50="","",IF(INDEX(Performances!$43:$49,MATCH('Report (p1)'!$N50,Performances!$A$44:$A$49,0)+1,MATCH('Report (p1)'!AB$44,Performances!$43:$43,0))="","",INDEX(Performances!$43:$49,MATCH('Report (p1)'!$N50,Performances!$A$44:$A$49,0)+1,MATCH('Report (p1)'!AB$44,Performances!$43:$43,0))/100))</f>
        <v>9.8771199999999996E-3</v>
      </c>
      <c r="AC50" s="217"/>
      <c r="AD50" s="217">
        <f>IF($N50="","",IF(INDEX(Performances!$43:$49,MATCH('Report (p1)'!$N50,Performances!$A$44:$A$49,0)+1,MATCH('Report (p1)'!AD$44,Performances!$43:$43,0))="","",INDEX(Performances!$43:$49,MATCH('Report (p1)'!$N50,Performances!$A$44:$A$49,0)+1,MATCH('Report (p1)'!AD$44,Performances!$43:$43,0))/100))</f>
        <v>2.6184099999999998E-3</v>
      </c>
      <c r="AE50" s="217"/>
      <c r="AF50" s="217" t="str">
        <f>IF($N50="","",IF(INDEX(Performances!$43:$49,MATCH('Report (p1)'!$N50,Performances!$A$44:$A$49,0)+1,MATCH('Report (p1)'!AF$44,Performances!$43:$43,0))="","",INDEX(Performances!$43:$49,MATCH('Report (p1)'!$N50,Performances!$A$44:$A$49,0)+1,MATCH('Report (p1)'!AF$44,Performances!$43:$43,0))/100))</f>
        <v/>
      </c>
      <c r="AG50" s="217"/>
      <c r="AH50" s="217" t="str">
        <f>IF($N50="","",IF(INDEX(Performances!$43:$49,MATCH('Report (p1)'!$N50,Performances!$A$44:$A$49,0)+1,MATCH('Report (p1)'!AH$44,Performances!$43:$43,0))="","",INDEX(Performances!$43:$49,MATCH('Report (p1)'!$N50,Performances!$A$44:$A$49,0)+1,MATCH('Report (p1)'!AH$44,Performances!$43:$43,0))/100))</f>
        <v/>
      </c>
      <c r="AI50" s="217"/>
      <c r="AJ50" s="217" t="str">
        <f>IF($N50="","",IF(INDEX(Performances!$43:$49,MATCH('Report (p1)'!$N50,Performances!$A$44:$A$49,0)+1,MATCH('Report (p1)'!AJ$44,Performances!$43:$43,0))="","",INDEX(Performances!$43:$49,MATCH('Report (p1)'!$N50,Performances!$A$44:$A$49,0)+1,MATCH('Report (p1)'!AJ$44,Performances!$43:$43,0))/100))</f>
        <v/>
      </c>
      <c r="AK50" s="217"/>
      <c r="AL50" s="217" t="str">
        <f>IF($N50="","",IF(INDEX(Performances!$43:$49,MATCH('Report (p1)'!$N50,Performances!$A$44:$A$49,0)+1,MATCH('Report (p1)'!AL$44,Performances!$43:$43,0))="","",INDEX(Performances!$43:$49,MATCH('Report (p1)'!$N50,Performances!$A$44:$A$49,0)+1,MATCH('Report (p1)'!AL$44,Performances!$43:$43,0))/100))</f>
        <v/>
      </c>
      <c r="AM50" s="228"/>
      <c r="AN50" s="238" t="e">
        <f>IF($N50="","",HLOOKUP($N50,Performances!$13:$16,4,FALSE)/100)</f>
        <v>#N/A</v>
      </c>
      <c r="AO50" s="217"/>
      <c r="AP50" s="239" t="e">
        <f>IF($N50="","",HLOOKUP($N50,Performances!$18:$21,4,FALSE)/100)</f>
        <v>#N/A</v>
      </c>
      <c r="AQ50" s="240"/>
    </row>
    <row r="51" spans="1:43" ht="15" customHeight="1" outlineLevel="1">
      <c r="A51" s="5"/>
      <c r="B51" s="3"/>
      <c r="C51" s="3"/>
      <c r="D51" s="3"/>
      <c r="E51" s="3"/>
      <c r="F51" s="3"/>
      <c r="G51" s="3"/>
      <c r="H51" s="3"/>
      <c r="I51" s="3"/>
      <c r="J51" s="3"/>
      <c r="K51" s="3"/>
      <c r="L51" s="3"/>
      <c r="M51" s="3"/>
      <c r="N51" s="182"/>
      <c r="O51" s="26"/>
      <c r="P51" s="3"/>
      <c r="Q51" s="3"/>
      <c r="R51" s="3"/>
      <c r="S51" s="3"/>
      <c r="T51" s="3"/>
      <c r="U51" s="3"/>
      <c r="V51" s="3"/>
      <c r="W51" s="3"/>
      <c r="X51" s="3"/>
      <c r="Y51" s="3"/>
      <c r="Z51" s="3"/>
      <c r="AA51" s="3"/>
      <c r="AB51" s="3"/>
      <c r="AC51" s="3"/>
      <c r="AD51" s="3"/>
      <c r="AE51" s="3"/>
      <c r="AF51" s="3"/>
      <c r="AG51" s="5"/>
      <c r="AH51" s="1"/>
      <c r="AI51" s="1"/>
      <c r="AJ51" s="1"/>
      <c r="AK51" s="1"/>
      <c r="AL51" s="1"/>
      <c r="AM51" s="1"/>
      <c r="AN51" s="1"/>
      <c r="AO51" s="1"/>
      <c r="AP51" s="1"/>
      <c r="AQ51" s="18" t="s">
        <v>161</v>
      </c>
    </row>
    <row r="52" spans="1:43" s="78" customFormat="1" ht="15" customHeight="1" outlineLevel="1">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96"/>
      <c r="AQ52" s="97"/>
    </row>
    <row r="53" spans="1:43" s="159" customFormat="1" ht="15" customHeight="1" outlineLevel="1">
      <c r="A53" s="186"/>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96"/>
      <c r="AQ53" s="97"/>
    </row>
    <row r="54" spans="1:43" s="159" customFormat="1" ht="15" customHeight="1" outlineLevel="1">
      <c r="A54" s="186"/>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96"/>
      <c r="AQ54" s="97"/>
    </row>
    <row r="55" spans="1:43" s="149" customFormat="1" ht="15" customHeight="1" outlineLevel="1">
      <c r="A55" s="181" t="str">
        <f>CONCATENATE("(1) Benchmark: ",HLOOKUP("Indice de référence (long)",Caracteristik!$1:$2,2,FALSE))</f>
        <v>(1) Benchmark: Bank of America Merrill Lynch Euro Non-Financial Fixed &amp; Floating Rate High Yield</v>
      </c>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61"/>
      <c r="AQ55" s="162"/>
    </row>
    <row r="56" spans="1:43" ht="15" customHeight="1" outlineLevel="1">
      <c r="A56" s="207" t="str">
        <f>HLOOKUP("Disclaimer",Caracteristik!$1:$2,2,FALSE)</f>
        <v>This is a non-contractual document provided for information only. This document is intended solely for unitholders or shareholders in the Fund. The information contained in this document is of no contractual value. Only the Fund’s full prospectus and latest financial statements shall be deemed legally binding. Past performance is no guarantee of future performance and is not constant over time. Stated performance includes all fees with the exception of subscription and redemption fees. Investors in this fund are exposed to risks associated with changes in the value of units or shares in the Fund arising from market fluctuations. As such, the value of an investment may rise or fall, and investors may consequently lose some or all of their initial investment. This document is provided for information purposes only and is not intended to be either legally binding or contractual in nature. The investor acknowledges having received a copy of the prospectus filed with the AMF prior to investing. In spite of the care taken in preparing this document, the management company cannot guarantee that the information it contains is accurate, complete and up to date. The company may not be held liable for any losses incurred by investors who base their investment decisions solely on this document. The information in this document may not be reproduced in full or in part without the prior consent of its author. All requests for further information about the Fund should be directed to Ofi Invest Asset Management, 22 rue Vernier, 75017 Paris, France.</v>
      </c>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row>
    <row r="57" spans="1:43" ht="15" customHeight="1" outlineLevel="1">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row>
    <row r="58" spans="1:43" s="129" customFormat="1" ht="15" customHeight="1" outlineLevel="1">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row>
    <row r="59" spans="1:43" ht="15" customHeight="1" outlineLevel="1">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row>
    <row r="60" spans="1:43" ht="15" customHeight="1" outlineLevel="1">
      <c r="A60" s="284" t="str">
        <f>HLOOKUP("contact",Caracteristik!$1:$2,2,FALSE)</f>
        <v>CONTACT • Sales Department • 01 40 68 17 17 • contact.clients.am@ofi-invest.com</v>
      </c>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row>
    <row r="61" spans="1:43" ht="15" customHeight="1" outlineLevel="1">
      <c r="A61" s="285"/>
      <c r="B61" s="285"/>
      <c r="C61" s="285"/>
      <c r="D61" s="285"/>
      <c r="E61" s="285"/>
      <c r="F61" s="286" t="str">
        <f>HLOOKUP("adresse",Caracteristik!$1:$2,2,FALSE)</f>
        <v>Ofi Invest Asset Management •  A portfolio management company authorised by the AMF under number GP 92-12 • Intracommunity VAT no.: FR 51384940342 • 
Principal activity (APE) code 6630Z • 22 rue Vernier 75017 Paris • Tel.: + 33 (0)1 40 68 17 17 • Fax: + 33 (0)1 40 68 17 18 • www.ofi-invest-am.com</v>
      </c>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05" t="s">
        <v>260</v>
      </c>
      <c r="AN61" s="205"/>
      <c r="AO61" s="205"/>
      <c r="AP61" s="205"/>
      <c r="AQ61" s="205"/>
    </row>
    <row r="62" spans="1:43" ht="15" customHeight="1" outlineLevel="1">
      <c r="A62" s="285"/>
      <c r="B62" s="285"/>
      <c r="C62" s="285"/>
      <c r="D62" s="285"/>
      <c r="E62" s="285"/>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05"/>
      <c r="AN62" s="205"/>
      <c r="AO62" s="205"/>
      <c r="AP62" s="205"/>
      <c r="AQ62" s="205"/>
    </row>
    <row r="63" spans="1:43" ht="15" customHeight="1" outlineLevel="1">
      <c r="A63" s="285"/>
      <c r="B63" s="285"/>
      <c r="C63" s="285"/>
      <c r="D63" s="285"/>
      <c r="E63" s="285"/>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05"/>
      <c r="AN63" s="205"/>
      <c r="AO63" s="205"/>
      <c r="AP63" s="205"/>
      <c r="AQ63" s="205"/>
    </row>
    <row r="64" spans="1:43" ht="15" customHeight="1" outlineLevel="1">
      <c r="A64" s="285"/>
      <c r="B64" s="285"/>
      <c r="C64" s="285"/>
      <c r="D64" s="285"/>
      <c r="E64" s="285"/>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05"/>
      <c r="AN64" s="205"/>
      <c r="AO64" s="205"/>
      <c r="AP64" s="205"/>
      <c r="AQ64" s="205"/>
    </row>
  </sheetData>
  <mergeCells count="183">
    <mergeCell ref="A10:E10"/>
    <mergeCell ref="F10:Q10"/>
    <mergeCell ref="A60:AQ60"/>
    <mergeCell ref="A61:E64"/>
    <mergeCell ref="F61:AL64"/>
    <mergeCell ref="J38:L38"/>
    <mergeCell ref="E30:L32"/>
    <mergeCell ref="A30:D32"/>
    <mergeCell ref="K17:L17"/>
    <mergeCell ref="N33:AQ33"/>
    <mergeCell ref="T35:W35"/>
    <mergeCell ref="A46:E47"/>
    <mergeCell ref="F46:L47"/>
    <mergeCell ref="AF24:AQ24"/>
    <mergeCell ref="J18:L18"/>
    <mergeCell ref="A22:L22"/>
    <mergeCell ref="A28:E29"/>
    <mergeCell ref="J19:L19"/>
    <mergeCell ref="F28:L29"/>
    <mergeCell ref="X38:Y38"/>
    <mergeCell ref="Z38:AA38"/>
    <mergeCell ref="AN37:AO37"/>
    <mergeCell ref="AN35:AO35"/>
    <mergeCell ref="K16:L16"/>
    <mergeCell ref="A12:L12"/>
    <mergeCell ref="N12:AD12"/>
    <mergeCell ref="AF16:AQ16"/>
    <mergeCell ref="J14:L14"/>
    <mergeCell ref="J15:L15"/>
    <mergeCell ref="AP35:AQ35"/>
    <mergeCell ref="N37:S37"/>
    <mergeCell ref="T37:U37"/>
    <mergeCell ref="T36:U36"/>
    <mergeCell ref="V36:W36"/>
    <mergeCell ref="AB36:AC36"/>
    <mergeCell ref="AD36:AE36"/>
    <mergeCell ref="AF36:AG36"/>
    <mergeCell ref="AH36:AI36"/>
    <mergeCell ref="AJ36:AK36"/>
    <mergeCell ref="AL36:AM36"/>
    <mergeCell ref="I27:L27"/>
    <mergeCell ref="AB35:AE35"/>
    <mergeCell ref="AF35:AI35"/>
    <mergeCell ref="AJ37:AK37"/>
    <mergeCell ref="V37:W37"/>
    <mergeCell ref="AB37:AC37"/>
    <mergeCell ref="AD37:AE37"/>
    <mergeCell ref="AH37:AI37"/>
    <mergeCell ref="AP38:AQ38"/>
    <mergeCell ref="P45:Q45"/>
    <mergeCell ref="N44:O44"/>
    <mergeCell ref="A7:AQ9"/>
    <mergeCell ref="AF12:AQ12"/>
    <mergeCell ref="A1:AG3"/>
    <mergeCell ref="A4:AG5"/>
    <mergeCell ref="Z47:AA47"/>
    <mergeCell ref="AB47:AC47"/>
    <mergeCell ref="AL47:AM47"/>
    <mergeCell ref="AN47:AO47"/>
    <mergeCell ref="AD47:AE47"/>
    <mergeCell ref="AF47:AG47"/>
    <mergeCell ref="AH47:AI47"/>
    <mergeCell ref="V38:W38"/>
    <mergeCell ref="AL37:AM37"/>
    <mergeCell ref="AD38:AE38"/>
    <mergeCell ref="AF38:AG38"/>
    <mergeCell ref="AH38:AI38"/>
    <mergeCell ref="AJ38:AK38"/>
    <mergeCell ref="AN38:AO38"/>
    <mergeCell ref="X35:AA35"/>
    <mergeCell ref="X36:Y36"/>
    <mergeCell ref="Z36:AA36"/>
    <mergeCell ref="AN49:AO49"/>
    <mergeCell ref="AD49:AE49"/>
    <mergeCell ref="X48:Y48"/>
    <mergeCell ref="Z48:AA48"/>
    <mergeCell ref="AB48:AC48"/>
    <mergeCell ref="X49:Y49"/>
    <mergeCell ref="AJ48:AK48"/>
    <mergeCell ref="AL48:AM48"/>
    <mergeCell ref="AF49:AG49"/>
    <mergeCell ref="AH49:AI49"/>
    <mergeCell ref="AN48:AO48"/>
    <mergeCell ref="AL49:AM49"/>
    <mergeCell ref="AJ49:AK49"/>
    <mergeCell ref="AJ47:AK47"/>
    <mergeCell ref="AL46:AM46"/>
    <mergeCell ref="Z46:AA46"/>
    <mergeCell ref="AB46:AC46"/>
    <mergeCell ref="X47:Y47"/>
    <mergeCell ref="AJ46:AK46"/>
    <mergeCell ref="AN44:AO44"/>
    <mergeCell ref="AL44:AM44"/>
    <mergeCell ref="AL38:AM38"/>
    <mergeCell ref="X37:Y37"/>
    <mergeCell ref="P46:Q46"/>
    <mergeCell ref="P47:Q47"/>
    <mergeCell ref="R47:S47"/>
    <mergeCell ref="R46:S46"/>
    <mergeCell ref="T46:U46"/>
    <mergeCell ref="X46:Y46"/>
    <mergeCell ref="AD46:AE46"/>
    <mergeCell ref="AF37:AG37"/>
    <mergeCell ref="N38:S38"/>
    <mergeCell ref="T38:U38"/>
    <mergeCell ref="T44:U44"/>
    <mergeCell ref="Z37:AA37"/>
    <mergeCell ref="V44:W44"/>
    <mergeCell ref="AH50:AI50"/>
    <mergeCell ref="AD48:AE48"/>
    <mergeCell ref="AF48:AG48"/>
    <mergeCell ref="AH48:AI48"/>
    <mergeCell ref="AB49:AC49"/>
    <mergeCell ref="Z49:AA49"/>
    <mergeCell ref="T48:U48"/>
    <mergeCell ref="V48:W48"/>
    <mergeCell ref="V46:W46"/>
    <mergeCell ref="V47:W47"/>
    <mergeCell ref="N50:O50"/>
    <mergeCell ref="P49:Q49"/>
    <mergeCell ref="AL50:AM50"/>
    <mergeCell ref="AJ50:AK50"/>
    <mergeCell ref="P48:Q48"/>
    <mergeCell ref="AJ35:AM35"/>
    <mergeCell ref="AF44:AG44"/>
    <mergeCell ref="AH44:AI44"/>
    <mergeCell ref="AN45:AO45"/>
    <mergeCell ref="AB38:AC38"/>
    <mergeCell ref="N42:AQ42"/>
    <mergeCell ref="N45:O45"/>
    <mergeCell ref="P44:Q44"/>
    <mergeCell ref="R44:S44"/>
    <mergeCell ref="AN50:AO50"/>
    <mergeCell ref="AP50:AQ50"/>
    <mergeCell ref="R50:S50"/>
    <mergeCell ref="AP48:AQ48"/>
    <mergeCell ref="R49:S49"/>
    <mergeCell ref="T49:U49"/>
    <mergeCell ref="V49:W49"/>
    <mergeCell ref="AB50:AC50"/>
    <mergeCell ref="AD50:AE50"/>
    <mergeCell ref="AF50:AG50"/>
    <mergeCell ref="AP46:AQ46"/>
    <mergeCell ref="AJ44:AK44"/>
    <mergeCell ref="X45:Y45"/>
    <mergeCell ref="AJ45:AK45"/>
    <mergeCell ref="AL45:AM45"/>
    <mergeCell ref="AH46:AI46"/>
    <mergeCell ref="Z45:AA45"/>
    <mergeCell ref="AN46:AO46"/>
    <mergeCell ref="AD44:AE44"/>
    <mergeCell ref="AB45:AC45"/>
    <mergeCell ref="X44:Y44"/>
    <mergeCell ref="Z44:AA44"/>
    <mergeCell ref="AB44:AC44"/>
    <mergeCell ref="AD45:AE45"/>
    <mergeCell ref="AF46:AG46"/>
    <mergeCell ref="AP44:AQ44"/>
    <mergeCell ref="AP45:AQ45"/>
    <mergeCell ref="AM61:AQ64"/>
    <mergeCell ref="A6:Z6"/>
    <mergeCell ref="A56:AQ59"/>
    <mergeCell ref="AP49:AQ49"/>
    <mergeCell ref="R48:S48"/>
    <mergeCell ref="AN36:AO36"/>
    <mergeCell ref="AP36:AQ36"/>
    <mergeCell ref="AF45:AG45"/>
    <mergeCell ref="AH45:AI45"/>
    <mergeCell ref="AP37:AQ37"/>
    <mergeCell ref="AP47:AQ47"/>
    <mergeCell ref="V45:W45"/>
    <mergeCell ref="R45:S45"/>
    <mergeCell ref="T45:U45"/>
    <mergeCell ref="P50:Q50"/>
    <mergeCell ref="N46:O46"/>
    <mergeCell ref="N47:O47"/>
    <mergeCell ref="N48:O48"/>
    <mergeCell ref="N49:O49"/>
    <mergeCell ref="T50:U50"/>
    <mergeCell ref="V50:W50"/>
    <mergeCell ref="X50:Y50"/>
    <mergeCell ref="Z50:AA50"/>
    <mergeCell ref="T47:U47"/>
  </mergeCells>
  <conditionalFormatting sqref="T37:U38 AB37:AC38 AF37:AG38 AJ37:AK38 AN37:AQ38 P45:AQ50">
    <cfRule type="cellIs" dxfId="5" priority="11" operator="greaterThan">
      <formula>0</formula>
    </cfRule>
  </conditionalFormatting>
  <conditionalFormatting sqref="T37:U38 AB37:AC38 AF37:AG38 AJ37:AK38 AN37:AQ38 P45:AQ50">
    <cfRule type="cellIs" dxfId="4" priority="10" operator="lessThan">
      <formula>0</formula>
    </cfRule>
  </conditionalFormatting>
  <conditionalFormatting sqref="X37:Y38">
    <cfRule type="cellIs" dxfId="3" priority="6" operator="greaterThan">
      <formula>0</formula>
    </cfRule>
  </conditionalFormatting>
  <conditionalFormatting sqref="X37:Y38">
    <cfRule type="cellIs" dxfId="2" priority="5" operator="lessThan">
      <formula>0</formula>
    </cfRule>
  </conditionalFormatting>
  <hyperlinks>
    <hyperlink ref="AM61:AQ64" r:id="rId1" display="https://twitter.com/OfiInvestAM_Int"/>
    <hyperlink ref="AM61" r:id="rId2"/>
  </hyperlinks>
  <printOptions horizontalCentered="1" verticalCentered="1"/>
  <pageMargins left="0.19685039370078741" right="0.19685039370078741" top="0.19685039370078741" bottom="0.19685039370078741" header="0" footer="0"/>
  <pageSetup paperSize="9" scale="60" orientation="landscape" r:id="rId3"/>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 id="{4FC04E1F-AF9C-4017-9763-BFF7EA1EC592}">
            <xm:f>Données!$D$3="Pas de SRRI"</xm:f>
            <x14:dxf>
              <fill>
                <patternFill patternType="none">
                  <bgColor auto="1"/>
                </patternFill>
              </fill>
              <border>
                <left/>
                <right/>
                <top/>
                <bottom/>
              </border>
            </x14:dxf>
          </x14:cfRule>
          <xm:sqref>AK14:AQ14</xm:sqref>
        </x14:conditionalFormatting>
        <x14:conditionalFormatting xmlns:xm="http://schemas.microsoft.com/office/excel/2006/main">
          <x14:cfRule type="cellIs" priority="1" operator="equal" id="{E8B79B20-93CF-423B-A447-C26092C8387F}">
            <xm:f>Données!$D$3</xm:f>
            <x14:dxf>
              <font>
                <color theme="0"/>
              </font>
              <fill>
                <patternFill patternType="solid">
                  <bgColor rgb="FF00647F"/>
                </patternFill>
              </fill>
              <border>
                <left style="thin">
                  <color theme="0"/>
                </left>
                <right style="thin">
                  <color theme="0"/>
                </right>
                <top style="thin">
                  <color theme="0"/>
                </top>
                <bottom style="thin">
                  <color theme="0"/>
                </bottom>
              </border>
            </x14:dxf>
          </x14:cfRule>
          <xm:sqref>AK14:AQ14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outlinePr showOutlineSymbols="0"/>
  </sheetPr>
  <dimension ref="A1:I183"/>
  <sheetViews>
    <sheetView showGridLines="0" showOutlineSymbols="0" zoomScale="55" zoomScaleNormal="55" workbookViewId="0"/>
  </sheetViews>
  <sheetFormatPr baseColWidth="10" defaultRowHeight="15" outlineLevelRow="1"/>
  <cols>
    <col min="1" max="1" width="5.28515625" customWidth="1"/>
    <col min="2" max="2" width="11.5703125" customWidth="1"/>
    <col min="3" max="3" width="15.28515625" customWidth="1"/>
    <col min="4" max="4" width="55.140625" customWidth="1"/>
    <col min="5" max="5" width="15.28515625" customWidth="1"/>
    <col min="6" max="6" width="10.7109375" customWidth="1"/>
    <col min="7" max="7" width="17.5703125" customWidth="1"/>
    <col min="8" max="8" width="9" style="129" customWidth="1"/>
    <col min="9" max="9" width="17" style="129" customWidth="1"/>
  </cols>
  <sheetData>
    <row r="1" spans="1:9" outlineLevel="1">
      <c r="A1" s="100" t="s">
        <v>286</v>
      </c>
      <c r="B1" s="99"/>
      <c r="C1" s="99"/>
      <c r="D1" s="99"/>
      <c r="E1" s="99"/>
      <c r="F1" s="99"/>
      <c r="G1" s="99"/>
      <c r="H1" s="99"/>
      <c r="I1" s="99"/>
    </row>
    <row r="2" spans="1:9">
      <c r="A2" s="389" t="s">
        <v>1427</v>
      </c>
      <c r="B2" s="388"/>
      <c r="C2" s="388"/>
      <c r="D2" s="388"/>
      <c r="E2" s="388"/>
      <c r="F2" s="388"/>
      <c r="G2" s="388"/>
      <c r="H2" s="388"/>
      <c r="I2" s="388"/>
    </row>
    <row r="3" spans="1:9">
      <c r="A3" s="170" t="s">
        <v>40</v>
      </c>
      <c r="B3" s="175"/>
      <c r="C3" s="175"/>
      <c r="D3" s="175"/>
      <c r="E3" s="175"/>
      <c r="F3" s="175"/>
      <c r="G3" s="175"/>
      <c r="H3" s="175"/>
      <c r="I3" s="175"/>
    </row>
    <row r="4" spans="1:9">
      <c r="A4" s="392" t="s">
        <v>1426</v>
      </c>
      <c r="B4" s="392" t="s">
        <v>1061</v>
      </c>
      <c r="C4" s="392" t="s">
        <v>1059</v>
      </c>
      <c r="D4" s="392" t="s">
        <v>1058</v>
      </c>
      <c r="E4" s="392" t="s">
        <v>307</v>
      </c>
      <c r="F4" s="392" t="s">
        <v>167</v>
      </c>
      <c r="G4" s="392" t="s">
        <v>310</v>
      </c>
      <c r="H4" s="392" t="s">
        <v>33</v>
      </c>
      <c r="I4" s="392" t="s">
        <v>283</v>
      </c>
    </row>
    <row r="5" spans="1:9">
      <c r="A5" s="170" t="s">
        <v>1425</v>
      </c>
      <c r="B5" s="170" t="s">
        <v>503</v>
      </c>
      <c r="C5" s="170" t="s">
        <v>578</v>
      </c>
      <c r="D5" s="170" t="s">
        <v>577</v>
      </c>
      <c r="E5" s="170" t="s">
        <v>288</v>
      </c>
      <c r="F5" s="170" t="s">
        <v>1076</v>
      </c>
      <c r="G5" s="170" t="s">
        <v>114</v>
      </c>
      <c r="H5" s="175">
        <v>7.0000000000000007E-2</v>
      </c>
      <c r="I5" s="396">
        <v>1.5626959999999999E-2</v>
      </c>
    </row>
    <row r="6" spans="1:9">
      <c r="A6" s="170" t="s">
        <v>1424</v>
      </c>
      <c r="B6" s="170" t="s">
        <v>503</v>
      </c>
      <c r="C6" s="170" t="s">
        <v>909</v>
      </c>
      <c r="D6" s="170" t="s">
        <v>908</v>
      </c>
      <c r="E6" s="170" t="s">
        <v>288</v>
      </c>
      <c r="F6" s="170" t="s">
        <v>1257</v>
      </c>
      <c r="G6" s="170" t="s">
        <v>63</v>
      </c>
      <c r="H6" s="175">
        <v>4.3749999999999997E-2</v>
      </c>
      <c r="I6" s="396">
        <v>1.2160580000000001E-2</v>
      </c>
    </row>
    <row r="7" spans="1:9">
      <c r="A7" s="170" t="s">
        <v>1423</v>
      </c>
      <c r="B7" s="170" t="s">
        <v>503</v>
      </c>
      <c r="C7" s="170" t="s">
        <v>738</v>
      </c>
      <c r="D7" s="170" t="s">
        <v>737</v>
      </c>
      <c r="E7" s="170" t="s">
        <v>293</v>
      </c>
      <c r="F7" s="170" t="s">
        <v>1077</v>
      </c>
      <c r="G7" s="170" t="s">
        <v>111</v>
      </c>
      <c r="H7" s="175">
        <v>0.06</v>
      </c>
      <c r="I7" s="396">
        <v>1.0901889999999999E-2</v>
      </c>
    </row>
    <row r="8" spans="1:9">
      <c r="A8" s="170" t="s">
        <v>45</v>
      </c>
      <c r="B8" s="170" t="s">
        <v>503</v>
      </c>
      <c r="C8" s="170" t="s">
        <v>539</v>
      </c>
      <c r="D8" s="170" t="s">
        <v>538</v>
      </c>
      <c r="E8" s="170" t="s">
        <v>296</v>
      </c>
      <c r="F8" s="170" t="s">
        <v>1066</v>
      </c>
      <c r="G8" s="170" t="s">
        <v>113</v>
      </c>
      <c r="H8" s="175">
        <v>4.1250000000000002E-2</v>
      </c>
      <c r="I8" s="396">
        <v>1.045373E-2</v>
      </c>
    </row>
    <row r="9" spans="1:9">
      <c r="A9" s="170" t="s">
        <v>1422</v>
      </c>
      <c r="B9" s="170" t="s">
        <v>503</v>
      </c>
      <c r="C9" s="170" t="s">
        <v>837</v>
      </c>
      <c r="D9" s="170" t="s">
        <v>836</v>
      </c>
      <c r="E9" s="170" t="s">
        <v>288</v>
      </c>
      <c r="F9" s="170" t="s">
        <v>1080</v>
      </c>
      <c r="G9" s="170" t="s">
        <v>110</v>
      </c>
      <c r="H9" s="175">
        <v>7.4999999999999997E-2</v>
      </c>
      <c r="I9" s="396">
        <v>1.039149E-2</v>
      </c>
    </row>
    <row r="10" spans="1:9">
      <c r="A10" s="170" t="s">
        <v>1421</v>
      </c>
      <c r="B10" s="170" t="s">
        <v>503</v>
      </c>
      <c r="C10" s="170" t="s">
        <v>942</v>
      </c>
      <c r="D10" s="170" t="s">
        <v>941</v>
      </c>
      <c r="E10" s="170" t="s">
        <v>292</v>
      </c>
      <c r="F10" s="170" t="s">
        <v>1174</v>
      </c>
      <c r="G10" s="170" t="s">
        <v>43</v>
      </c>
      <c r="H10" s="175">
        <v>0.03</v>
      </c>
      <c r="I10" s="396">
        <v>1.013346E-2</v>
      </c>
    </row>
    <row r="11" spans="1:9">
      <c r="A11" s="170" t="s">
        <v>1420</v>
      </c>
      <c r="B11" s="170" t="s">
        <v>503</v>
      </c>
      <c r="C11" s="170" t="s">
        <v>801</v>
      </c>
      <c r="D11" s="170" t="s">
        <v>800</v>
      </c>
      <c r="E11" s="170" t="s">
        <v>290</v>
      </c>
      <c r="F11" s="170" t="s">
        <v>1138</v>
      </c>
      <c r="G11" s="170" t="s">
        <v>112</v>
      </c>
      <c r="H11" s="175">
        <v>6.5000000000000002E-2</v>
      </c>
      <c r="I11" s="396">
        <v>9.9660500000000006E-3</v>
      </c>
    </row>
    <row r="12" spans="1:9">
      <c r="A12" s="170" t="s">
        <v>1419</v>
      </c>
      <c r="B12" s="170" t="s">
        <v>503</v>
      </c>
      <c r="C12" s="170" t="s">
        <v>808</v>
      </c>
      <c r="D12" s="170" t="s">
        <v>807</v>
      </c>
      <c r="E12" s="170" t="s">
        <v>287</v>
      </c>
      <c r="F12" s="170" t="s">
        <v>1140</v>
      </c>
      <c r="G12" s="170" t="s">
        <v>113</v>
      </c>
      <c r="H12" s="175">
        <v>6.3750000000000001E-2</v>
      </c>
      <c r="I12" s="396">
        <v>9.7890700000000004E-3</v>
      </c>
    </row>
    <row r="13" spans="1:9">
      <c r="A13" s="170" t="s">
        <v>1418</v>
      </c>
      <c r="B13" s="170" t="s">
        <v>503</v>
      </c>
      <c r="C13" s="170" t="s">
        <v>983</v>
      </c>
      <c r="D13" s="170" t="s">
        <v>982</v>
      </c>
      <c r="E13" s="170" t="s">
        <v>287</v>
      </c>
      <c r="F13" s="170" t="s">
        <v>1192</v>
      </c>
      <c r="G13" s="170" t="s">
        <v>41</v>
      </c>
      <c r="H13" s="175">
        <v>3.7499999999999999E-2</v>
      </c>
      <c r="I13" s="396">
        <v>9.7164399999999998E-3</v>
      </c>
    </row>
    <row r="14" spans="1:9">
      <c r="A14" s="170" t="s">
        <v>1417</v>
      </c>
      <c r="B14" s="170" t="s">
        <v>503</v>
      </c>
      <c r="C14" s="170" t="s">
        <v>912</v>
      </c>
      <c r="D14" s="170" t="s">
        <v>911</v>
      </c>
      <c r="E14" s="170" t="s">
        <v>288</v>
      </c>
      <c r="F14" s="170" t="s">
        <v>1168</v>
      </c>
      <c r="G14" s="170" t="s">
        <v>113</v>
      </c>
      <c r="H14" s="175">
        <v>4.1250000000000002E-2</v>
      </c>
      <c r="I14" s="396">
        <v>9.5474199999999992E-3</v>
      </c>
    </row>
    <row r="15" spans="1:9">
      <c r="A15" s="170" t="s">
        <v>1416</v>
      </c>
      <c r="B15" s="170" t="s">
        <v>503</v>
      </c>
      <c r="C15" s="170" t="s">
        <v>850</v>
      </c>
      <c r="D15" s="170" t="s">
        <v>849</v>
      </c>
      <c r="E15" s="170" t="s">
        <v>295</v>
      </c>
      <c r="F15" s="170" t="s">
        <v>1151</v>
      </c>
      <c r="G15" s="170" t="s">
        <v>112</v>
      </c>
      <c r="H15" s="175">
        <v>7.1249999999999994E-2</v>
      </c>
      <c r="I15" s="396">
        <v>9.0202100000000007E-3</v>
      </c>
    </row>
    <row r="16" spans="1:9">
      <c r="A16" s="170" t="s">
        <v>1415</v>
      </c>
      <c r="B16" s="170" t="s">
        <v>503</v>
      </c>
      <c r="C16" s="170" t="s">
        <v>980</v>
      </c>
      <c r="D16" s="170" t="s">
        <v>979</v>
      </c>
      <c r="E16" s="170" t="s">
        <v>287</v>
      </c>
      <c r="F16" s="170" t="s">
        <v>1191</v>
      </c>
      <c r="G16" s="170" t="s">
        <v>115</v>
      </c>
      <c r="H16" s="175">
        <v>3.7499999999999999E-2</v>
      </c>
      <c r="I16" s="396">
        <v>8.8911800000000003E-3</v>
      </c>
    </row>
    <row r="17" spans="1:9">
      <c r="A17" s="170" t="s">
        <v>1414</v>
      </c>
      <c r="B17" s="170" t="s">
        <v>503</v>
      </c>
      <c r="C17" s="170" t="s">
        <v>901</v>
      </c>
      <c r="D17" s="170" t="s">
        <v>900</v>
      </c>
      <c r="E17" s="170" t="s">
        <v>289</v>
      </c>
      <c r="F17" s="170" t="s">
        <v>1165</v>
      </c>
      <c r="G17" s="170" t="s">
        <v>112</v>
      </c>
      <c r="H17" s="175">
        <v>3.2500000000000001E-2</v>
      </c>
      <c r="I17" s="396">
        <v>8.7482700000000007E-3</v>
      </c>
    </row>
    <row r="18" spans="1:9">
      <c r="A18" s="170" t="s">
        <v>1413</v>
      </c>
      <c r="B18" s="170" t="s">
        <v>503</v>
      </c>
      <c r="C18" s="170" t="s">
        <v>939</v>
      </c>
      <c r="D18" s="170" t="s">
        <v>938</v>
      </c>
      <c r="E18" s="170" t="s">
        <v>290</v>
      </c>
      <c r="F18" s="170" t="s">
        <v>1173</v>
      </c>
      <c r="G18" s="170" t="s">
        <v>115</v>
      </c>
      <c r="H18" s="175">
        <v>0.04</v>
      </c>
      <c r="I18" s="396">
        <v>8.7280299999999995E-3</v>
      </c>
    </row>
    <row r="19" spans="1:9">
      <c r="A19" s="170" t="s">
        <v>1412</v>
      </c>
      <c r="B19" s="170" t="s">
        <v>503</v>
      </c>
      <c r="C19" s="170" t="s">
        <v>728</v>
      </c>
      <c r="D19" s="170" t="s">
        <v>727</v>
      </c>
      <c r="E19" s="170" t="s">
        <v>292</v>
      </c>
      <c r="F19" s="170" t="s">
        <v>1117</v>
      </c>
      <c r="G19" s="170" t="s">
        <v>113</v>
      </c>
      <c r="H19" s="175">
        <v>6.6250000000000003E-2</v>
      </c>
      <c r="I19" s="396">
        <v>8.6874299999999995E-3</v>
      </c>
    </row>
    <row r="20" spans="1:9">
      <c r="A20" s="170" t="s">
        <v>1411</v>
      </c>
      <c r="B20" s="170" t="s">
        <v>503</v>
      </c>
      <c r="C20" s="170" t="s">
        <v>689</v>
      </c>
      <c r="D20" s="170" t="s">
        <v>688</v>
      </c>
      <c r="E20" s="170" t="s">
        <v>288</v>
      </c>
      <c r="F20" s="170" t="s">
        <v>1089</v>
      </c>
      <c r="G20" s="170" t="s">
        <v>110</v>
      </c>
      <c r="H20" s="175">
        <v>0.06</v>
      </c>
      <c r="I20" s="396">
        <v>8.6768000000000001E-3</v>
      </c>
    </row>
    <row r="21" spans="1:9">
      <c r="A21" s="170" t="s">
        <v>1410</v>
      </c>
      <c r="B21" s="170" t="s">
        <v>503</v>
      </c>
      <c r="C21" s="170" t="s">
        <v>774</v>
      </c>
      <c r="D21" s="170" t="s">
        <v>773</v>
      </c>
      <c r="E21" s="170" t="s">
        <v>288</v>
      </c>
      <c r="F21" s="170" t="s">
        <v>1257</v>
      </c>
      <c r="G21" s="170" t="s">
        <v>43</v>
      </c>
      <c r="H21" s="175">
        <v>0.05</v>
      </c>
      <c r="I21" s="396">
        <v>8.6416400000000008E-3</v>
      </c>
    </row>
    <row r="22" spans="1:9">
      <c r="A22" s="170" t="s">
        <v>1409</v>
      </c>
      <c r="B22" s="170" t="s">
        <v>503</v>
      </c>
      <c r="C22" s="170" t="s">
        <v>754</v>
      </c>
      <c r="D22" s="170" t="s">
        <v>753</v>
      </c>
      <c r="E22" s="170" t="s">
        <v>287</v>
      </c>
      <c r="F22" s="170" t="s">
        <v>1089</v>
      </c>
      <c r="G22" s="170" t="s">
        <v>113</v>
      </c>
      <c r="H22" s="175">
        <v>6.8750000000000006E-2</v>
      </c>
      <c r="I22" s="396">
        <v>8.5111000000000006E-3</v>
      </c>
    </row>
    <row r="23" spans="1:9">
      <c r="A23" s="170" t="s">
        <v>1408</v>
      </c>
      <c r="B23" s="170" t="s">
        <v>503</v>
      </c>
      <c r="C23" s="170" t="s">
        <v>974</v>
      </c>
      <c r="D23" s="170" t="s">
        <v>973</v>
      </c>
      <c r="E23" s="170" t="s">
        <v>298</v>
      </c>
      <c r="F23" s="170" t="s">
        <v>1189</v>
      </c>
      <c r="G23" s="170" t="s">
        <v>43</v>
      </c>
      <c r="H23" s="175">
        <v>1.4999999999999999E-2</v>
      </c>
      <c r="I23" s="396">
        <v>8.4549199999999994E-3</v>
      </c>
    </row>
    <row r="24" spans="1:9">
      <c r="A24" s="170" t="s">
        <v>1407</v>
      </c>
      <c r="B24" s="170" t="s">
        <v>503</v>
      </c>
      <c r="C24" s="170" t="s">
        <v>620</v>
      </c>
      <c r="D24" s="170" t="s">
        <v>619</v>
      </c>
      <c r="E24" s="170" t="s">
        <v>300</v>
      </c>
      <c r="F24" s="170" t="s">
        <v>1087</v>
      </c>
      <c r="G24" s="170" t="s">
        <v>111</v>
      </c>
      <c r="H24" s="175">
        <v>0.05</v>
      </c>
      <c r="I24" s="396">
        <v>8.2901199999999998E-3</v>
      </c>
    </row>
    <row r="25" spans="1:9">
      <c r="A25" s="170" t="s">
        <v>1406</v>
      </c>
      <c r="B25" s="170" t="s">
        <v>503</v>
      </c>
      <c r="C25" s="170" t="s">
        <v>681</v>
      </c>
      <c r="D25" s="170" t="s">
        <v>680</v>
      </c>
      <c r="E25" s="170" t="s">
        <v>289</v>
      </c>
      <c r="F25" s="170" t="s">
        <v>1103</v>
      </c>
      <c r="G25" s="170" t="s">
        <v>113</v>
      </c>
      <c r="H25" s="175">
        <v>0.05</v>
      </c>
      <c r="I25" s="396">
        <v>8.2537200000000008E-3</v>
      </c>
    </row>
    <row r="26" spans="1:9">
      <c r="A26" s="170" t="s">
        <v>1405</v>
      </c>
      <c r="B26" s="170" t="s">
        <v>503</v>
      </c>
      <c r="C26" s="170" t="s">
        <v>733</v>
      </c>
      <c r="D26" s="170" t="s">
        <v>732</v>
      </c>
      <c r="E26" s="170" t="s">
        <v>291</v>
      </c>
      <c r="F26" s="170" t="s">
        <v>1118</v>
      </c>
      <c r="G26" s="170" t="s">
        <v>111</v>
      </c>
      <c r="H26" s="175">
        <v>6.5000000000000002E-2</v>
      </c>
      <c r="I26" s="396">
        <v>8.1669800000000008E-3</v>
      </c>
    </row>
    <row r="27" spans="1:9">
      <c r="A27" s="170" t="s">
        <v>1404</v>
      </c>
      <c r="B27" s="170" t="s">
        <v>503</v>
      </c>
      <c r="C27" s="170" t="s">
        <v>705</v>
      </c>
      <c r="D27" s="170" t="s">
        <v>704</v>
      </c>
      <c r="E27" s="170" t="s">
        <v>296</v>
      </c>
      <c r="F27" s="170" t="s">
        <v>1109</v>
      </c>
      <c r="G27" s="170" t="s">
        <v>115</v>
      </c>
      <c r="H27" s="175">
        <v>0.06</v>
      </c>
      <c r="I27" s="396">
        <v>8.1664400000000005E-3</v>
      </c>
    </row>
    <row r="28" spans="1:9">
      <c r="A28" s="170" t="s">
        <v>1403</v>
      </c>
      <c r="B28" s="170" t="s">
        <v>503</v>
      </c>
      <c r="C28" s="170" t="s">
        <v>662</v>
      </c>
      <c r="D28" s="170" t="s">
        <v>661</v>
      </c>
      <c r="E28" s="170" t="s">
        <v>288</v>
      </c>
      <c r="F28" s="170" t="s">
        <v>1098</v>
      </c>
      <c r="G28" s="170" t="s">
        <v>110</v>
      </c>
      <c r="H28" s="175">
        <v>1.125E-2</v>
      </c>
      <c r="I28" s="396">
        <v>8.1312799999999994E-3</v>
      </c>
    </row>
    <row r="29" spans="1:9">
      <c r="A29" s="170" t="s">
        <v>1402</v>
      </c>
      <c r="B29" s="170" t="s">
        <v>503</v>
      </c>
      <c r="C29" s="170" t="s">
        <v>644</v>
      </c>
      <c r="D29" s="170" t="s">
        <v>643</v>
      </c>
      <c r="E29" s="170" t="s">
        <v>297</v>
      </c>
      <c r="F29" s="170" t="s">
        <v>1401</v>
      </c>
      <c r="G29" s="170" t="s">
        <v>113</v>
      </c>
      <c r="H29" s="175">
        <v>3.875E-2</v>
      </c>
      <c r="I29" s="396">
        <v>8.0638800000000007E-3</v>
      </c>
    </row>
    <row r="30" spans="1:9">
      <c r="A30" s="170" t="s">
        <v>1400</v>
      </c>
      <c r="B30" s="170" t="s">
        <v>503</v>
      </c>
      <c r="C30" s="170" t="s">
        <v>678</v>
      </c>
      <c r="D30" s="170" t="s">
        <v>677</v>
      </c>
      <c r="E30" s="170" t="s">
        <v>290</v>
      </c>
      <c r="F30" s="170" t="s">
        <v>1102</v>
      </c>
      <c r="G30" s="170" t="s">
        <v>113</v>
      </c>
      <c r="H30" s="175">
        <v>5.6250000000000001E-2</v>
      </c>
      <c r="I30" s="396">
        <v>8.0327599999999999E-3</v>
      </c>
    </row>
    <row r="31" spans="1:9">
      <c r="A31" s="170" t="s">
        <v>1399</v>
      </c>
      <c r="B31" s="170" t="s">
        <v>503</v>
      </c>
      <c r="C31" s="170" t="s">
        <v>883</v>
      </c>
      <c r="D31" s="170" t="s">
        <v>882</v>
      </c>
      <c r="E31" s="170" t="s">
        <v>295</v>
      </c>
      <c r="F31" s="170" t="s">
        <v>1160</v>
      </c>
      <c r="G31" s="170" t="s">
        <v>113</v>
      </c>
      <c r="H31" s="175">
        <v>0.02</v>
      </c>
      <c r="I31" s="396">
        <v>8.0149000000000001E-3</v>
      </c>
    </row>
    <row r="32" spans="1:9">
      <c r="A32" s="170" t="s">
        <v>1398</v>
      </c>
      <c r="B32" s="170" t="s">
        <v>503</v>
      </c>
      <c r="C32" s="170" t="s">
        <v>617</v>
      </c>
      <c r="D32" s="170" t="s">
        <v>616</v>
      </c>
      <c r="E32" s="170" t="s">
        <v>287</v>
      </c>
      <c r="F32" s="170" t="s">
        <v>1086</v>
      </c>
      <c r="G32" s="170" t="s">
        <v>112</v>
      </c>
      <c r="H32" s="175">
        <v>5.5E-2</v>
      </c>
      <c r="I32" s="396">
        <v>7.8567900000000006E-3</v>
      </c>
    </row>
    <row r="33" spans="1:9">
      <c r="A33" s="170" t="s">
        <v>1397</v>
      </c>
      <c r="B33" s="170" t="s">
        <v>503</v>
      </c>
      <c r="C33" s="170" t="s">
        <v>811</v>
      </c>
      <c r="D33" s="170" t="s">
        <v>810</v>
      </c>
      <c r="E33" s="170" t="s">
        <v>292</v>
      </c>
      <c r="F33" s="170" t="s">
        <v>1141</v>
      </c>
      <c r="G33" s="170" t="s">
        <v>111</v>
      </c>
      <c r="H33" s="175">
        <v>0.11</v>
      </c>
      <c r="I33" s="396">
        <v>7.8349800000000001E-3</v>
      </c>
    </row>
    <row r="34" spans="1:9">
      <c r="A34" s="170" t="s">
        <v>1396</v>
      </c>
      <c r="B34" s="170" t="s">
        <v>503</v>
      </c>
      <c r="C34" s="170" t="s">
        <v>968</v>
      </c>
      <c r="D34" s="170" t="s">
        <v>967</v>
      </c>
      <c r="E34" s="170" t="s">
        <v>293</v>
      </c>
      <c r="F34" s="170" t="s">
        <v>1257</v>
      </c>
      <c r="G34" s="170" t="s">
        <v>41</v>
      </c>
      <c r="H34" s="175">
        <v>3.2500000000000001E-2</v>
      </c>
      <c r="I34" s="396">
        <v>7.8334500000000005E-3</v>
      </c>
    </row>
    <row r="35" spans="1:9">
      <c r="A35" s="170" t="s">
        <v>1395</v>
      </c>
      <c r="B35" s="170" t="s">
        <v>503</v>
      </c>
      <c r="C35" s="170" t="s">
        <v>803</v>
      </c>
      <c r="D35" s="170" t="s">
        <v>802</v>
      </c>
      <c r="E35" s="170" t="s">
        <v>290</v>
      </c>
      <c r="F35" s="170" t="s">
        <v>1257</v>
      </c>
      <c r="G35" s="170" t="s">
        <v>41</v>
      </c>
      <c r="H35" s="175">
        <v>5.7521999999999997E-2</v>
      </c>
      <c r="I35" s="396">
        <v>7.7686300000000003E-3</v>
      </c>
    </row>
    <row r="36" spans="1:9">
      <c r="A36" s="170" t="s">
        <v>1394</v>
      </c>
      <c r="B36" s="170" t="s">
        <v>503</v>
      </c>
      <c r="C36" s="170" t="s">
        <v>990</v>
      </c>
      <c r="D36" s="170" t="s">
        <v>989</v>
      </c>
      <c r="E36" s="170" t="s">
        <v>287</v>
      </c>
      <c r="F36" s="170" t="s">
        <v>1257</v>
      </c>
      <c r="G36" s="170" t="s">
        <v>41</v>
      </c>
      <c r="H36" s="175">
        <v>5.4940000000000003E-2</v>
      </c>
      <c r="I36" s="396">
        <v>7.7644000000000003E-3</v>
      </c>
    </row>
    <row r="37" spans="1:9">
      <c r="A37" s="170" t="s">
        <v>1393</v>
      </c>
      <c r="B37" s="170" t="s">
        <v>503</v>
      </c>
      <c r="C37" s="170" t="s">
        <v>1003</v>
      </c>
      <c r="D37" s="170" t="s">
        <v>1002</v>
      </c>
      <c r="E37" s="170" t="s">
        <v>287</v>
      </c>
      <c r="F37" s="170" t="s">
        <v>1257</v>
      </c>
      <c r="G37" s="170" t="s">
        <v>43</v>
      </c>
      <c r="H37" s="175">
        <v>2.5000000000000001E-2</v>
      </c>
      <c r="I37" s="396">
        <v>7.7132399999999997E-3</v>
      </c>
    </row>
    <row r="38" spans="1:9">
      <c r="A38" s="170" t="s">
        <v>1392</v>
      </c>
      <c r="B38" s="170" t="s">
        <v>503</v>
      </c>
      <c r="C38" s="170" t="s">
        <v>880</v>
      </c>
      <c r="D38" s="170" t="s">
        <v>879</v>
      </c>
      <c r="E38" s="170" t="s">
        <v>290</v>
      </c>
      <c r="F38" s="170" t="s">
        <v>1159</v>
      </c>
      <c r="G38" s="170" t="s">
        <v>111</v>
      </c>
      <c r="H38" s="175">
        <v>3.875E-2</v>
      </c>
      <c r="I38" s="396">
        <v>7.6058100000000002E-3</v>
      </c>
    </row>
    <row r="39" spans="1:9">
      <c r="A39" s="170" t="s">
        <v>1391</v>
      </c>
      <c r="B39" s="170" t="s">
        <v>503</v>
      </c>
      <c r="C39" s="170" t="s">
        <v>827</v>
      </c>
      <c r="D39" s="170" t="s">
        <v>826</v>
      </c>
      <c r="E39" s="170" t="s">
        <v>292</v>
      </c>
      <c r="F39" s="170" t="s">
        <v>1145</v>
      </c>
      <c r="G39" s="170" t="s">
        <v>114</v>
      </c>
      <c r="H39" s="175">
        <v>5.8749999999999997E-2</v>
      </c>
      <c r="I39" s="396">
        <v>7.5727499999999996E-3</v>
      </c>
    </row>
    <row r="40" spans="1:9">
      <c r="A40" s="170" t="s">
        <v>1390</v>
      </c>
      <c r="B40" s="170" t="s">
        <v>503</v>
      </c>
      <c r="C40" s="170" t="s">
        <v>917</v>
      </c>
      <c r="D40" s="170" t="s">
        <v>916</v>
      </c>
      <c r="E40" s="170" t="s">
        <v>291</v>
      </c>
      <c r="F40" s="170" t="s">
        <v>1169</v>
      </c>
      <c r="G40" s="170" t="s">
        <v>114</v>
      </c>
      <c r="H40" s="175">
        <v>2.8750000000000001E-2</v>
      </c>
      <c r="I40" s="396">
        <v>7.5160299999999999E-3</v>
      </c>
    </row>
    <row r="41" spans="1:9">
      <c r="A41" s="170" t="s">
        <v>1389</v>
      </c>
      <c r="B41" s="170" t="s">
        <v>503</v>
      </c>
      <c r="C41" s="170" t="s">
        <v>780</v>
      </c>
      <c r="D41" s="170" t="s">
        <v>779</v>
      </c>
      <c r="E41" s="170" t="s">
        <v>287</v>
      </c>
      <c r="F41" s="170" t="s">
        <v>1133</v>
      </c>
      <c r="G41" s="170" t="s">
        <v>113</v>
      </c>
      <c r="H41" s="175">
        <v>9.7500000000000003E-2</v>
      </c>
      <c r="I41" s="396">
        <v>7.5016700000000002E-3</v>
      </c>
    </row>
    <row r="42" spans="1:9">
      <c r="A42" s="170" t="s">
        <v>1388</v>
      </c>
      <c r="B42" s="170" t="s">
        <v>503</v>
      </c>
      <c r="C42" s="170" t="s">
        <v>546</v>
      </c>
      <c r="D42" s="170" t="s">
        <v>545</v>
      </c>
      <c r="E42" s="170" t="s">
        <v>287</v>
      </c>
      <c r="F42" s="170" t="s">
        <v>1068</v>
      </c>
      <c r="G42" s="170" t="s">
        <v>114</v>
      </c>
      <c r="H42" s="175">
        <v>4.4999999999999998E-2</v>
      </c>
      <c r="I42" s="396">
        <v>7.4983599999999999E-3</v>
      </c>
    </row>
    <row r="43" spans="1:9">
      <c r="A43" s="170" t="s">
        <v>1387</v>
      </c>
      <c r="B43" s="170" t="s">
        <v>503</v>
      </c>
      <c r="C43" s="170" t="s">
        <v>746</v>
      </c>
      <c r="D43" s="170" t="s">
        <v>745</v>
      </c>
      <c r="E43" s="170" t="s">
        <v>294</v>
      </c>
      <c r="F43" s="170" t="s">
        <v>1257</v>
      </c>
      <c r="G43" s="170" t="s">
        <v>43</v>
      </c>
      <c r="H43" s="175">
        <v>4.8750000000000002E-2</v>
      </c>
      <c r="I43" s="396">
        <v>7.4766399999999997E-3</v>
      </c>
    </row>
    <row r="44" spans="1:9">
      <c r="A44" s="170" t="s">
        <v>1386</v>
      </c>
      <c r="B44" s="170" t="s">
        <v>503</v>
      </c>
      <c r="C44" s="170" t="s">
        <v>805</v>
      </c>
      <c r="D44" s="170" t="s">
        <v>804</v>
      </c>
      <c r="E44" s="170" t="s">
        <v>293</v>
      </c>
      <c r="F44" s="170" t="s">
        <v>1083</v>
      </c>
      <c r="G44" s="170" t="s">
        <v>112</v>
      </c>
      <c r="H44" s="175">
        <v>7.8750000000000001E-2</v>
      </c>
      <c r="I44" s="396">
        <v>7.3192200000000004E-3</v>
      </c>
    </row>
    <row r="45" spans="1:9">
      <c r="A45" s="170" t="s">
        <v>1385</v>
      </c>
      <c r="B45" s="170" t="s">
        <v>503</v>
      </c>
      <c r="C45" s="170" t="s">
        <v>708</v>
      </c>
      <c r="D45" s="170" t="s">
        <v>707</v>
      </c>
      <c r="E45" s="170" t="s">
        <v>289</v>
      </c>
      <c r="F45" s="170" t="s">
        <v>1110</v>
      </c>
      <c r="G45" s="170" t="s">
        <v>111</v>
      </c>
      <c r="H45" s="175">
        <v>6.5000000000000002E-2</v>
      </c>
      <c r="I45" s="396">
        <v>7.3067499999999999E-3</v>
      </c>
    </row>
    <row r="46" spans="1:9">
      <c r="A46" s="170" t="s">
        <v>1384</v>
      </c>
      <c r="B46" s="170" t="s">
        <v>503</v>
      </c>
      <c r="C46" s="170" t="s">
        <v>862</v>
      </c>
      <c r="D46" s="170" t="s">
        <v>861</v>
      </c>
      <c r="E46" s="170" t="s">
        <v>294</v>
      </c>
      <c r="F46" s="170" t="s">
        <v>1154</v>
      </c>
      <c r="G46" s="170" t="s">
        <v>112</v>
      </c>
      <c r="H46" s="175">
        <v>3.5000000000000003E-2</v>
      </c>
      <c r="I46" s="396">
        <v>7.0400799999999998E-3</v>
      </c>
    </row>
    <row r="47" spans="1:9">
      <c r="A47" s="170" t="s">
        <v>1383</v>
      </c>
      <c r="B47" s="170" t="s">
        <v>503</v>
      </c>
      <c r="C47" s="170" t="s">
        <v>726</v>
      </c>
      <c r="D47" s="170" t="s">
        <v>725</v>
      </c>
      <c r="E47" s="170" t="s">
        <v>292</v>
      </c>
      <c r="F47" s="170" t="s">
        <v>1117</v>
      </c>
      <c r="G47" s="170" t="s">
        <v>114</v>
      </c>
      <c r="H47" s="175">
        <v>6.7500000000000004E-2</v>
      </c>
      <c r="I47" s="396">
        <v>7.0176500000000003E-3</v>
      </c>
    </row>
    <row r="48" spans="1:9">
      <c r="A48" s="170" t="s">
        <v>1382</v>
      </c>
      <c r="B48" s="170" t="s">
        <v>503</v>
      </c>
      <c r="C48" s="170" t="s">
        <v>896</v>
      </c>
      <c r="D48" s="170" t="s">
        <v>895</v>
      </c>
      <c r="E48" s="170" t="s">
        <v>303</v>
      </c>
      <c r="F48" s="170" t="s">
        <v>1164</v>
      </c>
      <c r="G48" s="170" t="s">
        <v>43</v>
      </c>
      <c r="H48" s="175">
        <v>0.01</v>
      </c>
      <c r="I48" s="396">
        <v>7.0126199999999998E-3</v>
      </c>
    </row>
    <row r="49" spans="1:9">
      <c r="A49" s="170" t="s">
        <v>1381</v>
      </c>
      <c r="B49" s="170" t="s">
        <v>503</v>
      </c>
      <c r="C49" s="170" t="s">
        <v>932</v>
      </c>
      <c r="D49" s="170" t="s">
        <v>931</v>
      </c>
      <c r="E49" s="170" t="s">
        <v>288</v>
      </c>
      <c r="F49" s="170" t="s">
        <v>1257</v>
      </c>
      <c r="G49" s="170" t="s">
        <v>43</v>
      </c>
      <c r="H49" s="175">
        <v>1.4999999999999999E-2</v>
      </c>
      <c r="I49" s="396">
        <v>6.8810199999999998E-3</v>
      </c>
    </row>
    <row r="50" spans="1:9">
      <c r="A50" s="170" t="s">
        <v>1380</v>
      </c>
      <c r="B50" s="170" t="s">
        <v>503</v>
      </c>
      <c r="C50" s="170" t="s">
        <v>731</v>
      </c>
      <c r="D50" s="170" t="s">
        <v>730</v>
      </c>
      <c r="E50" s="170" t="s">
        <v>289</v>
      </c>
      <c r="F50" s="170" t="s">
        <v>1119</v>
      </c>
      <c r="G50" s="170" t="s">
        <v>111</v>
      </c>
      <c r="H50" s="175">
        <v>6.7500000000000004E-2</v>
      </c>
      <c r="I50" s="396">
        <v>6.79308E-3</v>
      </c>
    </row>
    <row r="51" spans="1:9">
      <c r="A51" s="170" t="s">
        <v>1379</v>
      </c>
      <c r="B51" s="170" t="s">
        <v>503</v>
      </c>
      <c r="C51" s="170" t="s">
        <v>692</v>
      </c>
      <c r="D51" s="170" t="s">
        <v>691</v>
      </c>
      <c r="E51" s="170" t="s">
        <v>288</v>
      </c>
      <c r="F51" s="170" t="s">
        <v>1105</v>
      </c>
      <c r="G51" s="170" t="s">
        <v>113</v>
      </c>
      <c r="H51" s="175">
        <v>5.2499999999999998E-2</v>
      </c>
      <c r="I51" s="396">
        <v>6.6640299999999996E-3</v>
      </c>
    </row>
    <row r="52" spans="1:9">
      <c r="A52" s="170" t="s">
        <v>1378</v>
      </c>
      <c r="B52" s="170" t="s">
        <v>503</v>
      </c>
      <c r="C52" s="170" t="s">
        <v>960</v>
      </c>
      <c r="D52" s="170" t="s">
        <v>959</v>
      </c>
      <c r="E52" s="170" t="s">
        <v>288</v>
      </c>
      <c r="F52" s="170" t="s">
        <v>1257</v>
      </c>
      <c r="G52" s="170" t="s">
        <v>43</v>
      </c>
      <c r="H52" s="175">
        <v>3.6249999999999998E-2</v>
      </c>
      <c r="I52" s="396">
        <v>6.6049000000000004E-3</v>
      </c>
    </row>
    <row r="53" spans="1:9">
      <c r="A53" s="170" t="s">
        <v>1377</v>
      </c>
      <c r="B53" s="170" t="s">
        <v>503</v>
      </c>
      <c r="C53" s="170" t="s">
        <v>624</v>
      </c>
      <c r="D53" s="170" t="s">
        <v>623</v>
      </c>
      <c r="E53" s="170" t="s">
        <v>288</v>
      </c>
      <c r="F53" s="170" t="s">
        <v>1088</v>
      </c>
      <c r="G53" s="170" t="s">
        <v>114</v>
      </c>
      <c r="H53" s="175">
        <v>5.5E-2</v>
      </c>
      <c r="I53" s="396">
        <v>6.5723600000000002E-3</v>
      </c>
    </row>
    <row r="54" spans="1:9">
      <c r="A54" s="170" t="s">
        <v>1376</v>
      </c>
      <c r="B54" s="170" t="s">
        <v>503</v>
      </c>
      <c r="C54" s="170" t="s">
        <v>788</v>
      </c>
      <c r="D54" s="170" t="s">
        <v>787</v>
      </c>
      <c r="E54" s="170" t="s">
        <v>288</v>
      </c>
      <c r="F54" s="170" t="s">
        <v>1085</v>
      </c>
      <c r="G54" s="170" t="s">
        <v>112</v>
      </c>
      <c r="H54" s="175">
        <v>6.3750000000000001E-2</v>
      </c>
      <c r="I54" s="396">
        <v>6.5095500000000002E-3</v>
      </c>
    </row>
    <row r="55" spans="1:9">
      <c r="A55" s="170" t="s">
        <v>1375</v>
      </c>
      <c r="B55" s="170" t="s">
        <v>503</v>
      </c>
      <c r="C55" s="170" t="s">
        <v>1011</v>
      </c>
      <c r="D55" s="170" t="s">
        <v>1010</v>
      </c>
      <c r="E55" s="170" t="s">
        <v>288</v>
      </c>
      <c r="F55" s="170" t="s">
        <v>1201</v>
      </c>
      <c r="G55" s="170" t="s">
        <v>115</v>
      </c>
      <c r="H55" s="175">
        <v>5.3749999999999999E-2</v>
      </c>
      <c r="I55" s="396">
        <v>6.4667600000000002E-3</v>
      </c>
    </row>
    <row r="56" spans="1:9">
      <c r="A56" s="170" t="s">
        <v>1374</v>
      </c>
      <c r="B56" s="170" t="s">
        <v>503</v>
      </c>
      <c r="C56" s="170" t="s">
        <v>630</v>
      </c>
      <c r="D56" s="170" t="s">
        <v>629</v>
      </c>
      <c r="E56" s="170" t="s">
        <v>291</v>
      </c>
      <c r="F56" s="170" t="s">
        <v>1090</v>
      </c>
      <c r="G56" s="170" t="s">
        <v>113</v>
      </c>
      <c r="H56" s="175">
        <v>4.3749999999999997E-2</v>
      </c>
      <c r="I56" s="396">
        <v>6.3769899999999999E-3</v>
      </c>
    </row>
    <row r="57" spans="1:9">
      <c r="A57" s="170" t="s">
        <v>1373</v>
      </c>
      <c r="B57" s="170" t="s">
        <v>503</v>
      </c>
      <c r="C57" s="170" t="s">
        <v>665</v>
      </c>
      <c r="D57" s="170" t="s">
        <v>664</v>
      </c>
      <c r="E57" s="170" t="s">
        <v>290</v>
      </c>
      <c r="F57" s="170" t="s">
        <v>1099</v>
      </c>
      <c r="G57" s="170" t="s">
        <v>111</v>
      </c>
      <c r="H57" s="175">
        <v>7.1249999999999994E-2</v>
      </c>
      <c r="I57" s="396">
        <v>6.3325600000000001E-3</v>
      </c>
    </row>
    <row r="58" spans="1:9">
      <c r="A58" s="170" t="s">
        <v>1372</v>
      </c>
      <c r="B58" s="170" t="s">
        <v>503</v>
      </c>
      <c r="C58" s="170" t="s">
        <v>614</v>
      </c>
      <c r="D58" s="170" t="s">
        <v>613</v>
      </c>
      <c r="E58" s="170" t="s">
        <v>289</v>
      </c>
      <c r="F58" s="170" t="s">
        <v>1085</v>
      </c>
      <c r="G58" s="170" t="s">
        <v>111</v>
      </c>
      <c r="H58" s="175">
        <v>5.7500000000000002E-2</v>
      </c>
      <c r="I58" s="396">
        <v>6.3277300000000002E-3</v>
      </c>
    </row>
    <row r="59" spans="1:9">
      <c r="A59" s="170" t="s">
        <v>1371</v>
      </c>
      <c r="B59" s="170" t="s">
        <v>503</v>
      </c>
      <c r="C59" s="170" t="s">
        <v>865</v>
      </c>
      <c r="D59" s="170" t="s">
        <v>864</v>
      </c>
      <c r="E59" s="170" t="s">
        <v>294</v>
      </c>
      <c r="F59" s="170" t="s">
        <v>1155</v>
      </c>
      <c r="G59" s="170" t="s">
        <v>111</v>
      </c>
      <c r="H59" s="175">
        <v>5.5E-2</v>
      </c>
      <c r="I59" s="396">
        <v>6.2714900000000002E-3</v>
      </c>
    </row>
    <row r="60" spans="1:9">
      <c r="A60" s="170" t="s">
        <v>1370</v>
      </c>
      <c r="B60" s="170" t="s">
        <v>503</v>
      </c>
      <c r="C60" s="170" t="s">
        <v>871</v>
      </c>
      <c r="D60" s="170" t="s">
        <v>870</v>
      </c>
      <c r="E60" s="170" t="s">
        <v>290</v>
      </c>
      <c r="F60" s="170" t="s">
        <v>1257</v>
      </c>
      <c r="G60" s="170" t="s">
        <v>43</v>
      </c>
      <c r="H60" s="175">
        <v>2.3740000000000001E-2</v>
      </c>
      <c r="I60" s="396">
        <v>6.2695800000000003E-3</v>
      </c>
    </row>
    <row r="61" spans="1:9">
      <c r="A61" s="170" t="s">
        <v>1369</v>
      </c>
      <c r="B61" s="170" t="s">
        <v>503</v>
      </c>
      <c r="C61" s="170" t="s">
        <v>702</v>
      </c>
      <c r="D61" s="170" t="s">
        <v>701</v>
      </c>
      <c r="E61" s="170" t="s">
        <v>288</v>
      </c>
      <c r="F61" s="170" t="s">
        <v>1108</v>
      </c>
      <c r="G61" s="170" t="s">
        <v>114</v>
      </c>
      <c r="H61" s="175">
        <v>6.7500000000000004E-2</v>
      </c>
      <c r="I61" s="396">
        <v>6.1808000000000002E-3</v>
      </c>
    </row>
    <row r="62" spans="1:9">
      <c r="A62" s="170" t="s">
        <v>1368</v>
      </c>
      <c r="B62" s="170" t="s">
        <v>503</v>
      </c>
      <c r="C62" s="170" t="s">
        <v>741</v>
      </c>
      <c r="D62" s="170" t="s">
        <v>740</v>
      </c>
      <c r="E62" s="170" t="s">
        <v>289</v>
      </c>
      <c r="F62" s="170" t="s">
        <v>1123</v>
      </c>
      <c r="G62" s="170" t="s">
        <v>115</v>
      </c>
      <c r="H62" s="175">
        <v>4.8750000000000002E-2</v>
      </c>
      <c r="I62" s="396">
        <v>6.1571400000000002E-3</v>
      </c>
    </row>
    <row r="63" spans="1:9">
      <c r="A63" s="170" t="s">
        <v>1367</v>
      </c>
      <c r="B63" s="170" t="s">
        <v>503</v>
      </c>
      <c r="C63" s="170" t="s">
        <v>977</v>
      </c>
      <c r="D63" s="170" t="s">
        <v>976</v>
      </c>
      <c r="E63" s="170" t="s">
        <v>298</v>
      </c>
      <c r="F63" s="170" t="s">
        <v>1190</v>
      </c>
      <c r="G63" s="170" t="s">
        <v>43</v>
      </c>
      <c r="H63" s="175">
        <v>4.6249999999999999E-2</v>
      </c>
      <c r="I63" s="396">
        <v>6.1570799999999997E-3</v>
      </c>
    </row>
    <row r="64" spans="1:9">
      <c r="A64" s="170" t="s">
        <v>1366</v>
      </c>
      <c r="B64" s="170" t="s">
        <v>503</v>
      </c>
      <c r="C64" s="170" t="s">
        <v>819</v>
      </c>
      <c r="D64" s="170" t="s">
        <v>818</v>
      </c>
      <c r="E64" s="170" t="s">
        <v>292</v>
      </c>
      <c r="F64" s="170" t="s">
        <v>1143</v>
      </c>
      <c r="G64" s="170" t="s">
        <v>111</v>
      </c>
      <c r="H64" s="175">
        <v>8.2500000000000004E-2</v>
      </c>
      <c r="I64" s="396">
        <v>6.1330899999999999E-3</v>
      </c>
    </row>
    <row r="65" spans="1:9">
      <c r="A65" s="170" t="s">
        <v>1365</v>
      </c>
      <c r="B65" s="170" t="s">
        <v>503</v>
      </c>
      <c r="C65" s="170" t="s">
        <v>673</v>
      </c>
      <c r="D65" s="170" t="s">
        <v>672</v>
      </c>
      <c r="E65" s="170" t="s">
        <v>287</v>
      </c>
      <c r="F65" s="170" t="s">
        <v>1085</v>
      </c>
      <c r="G65" s="170" t="s">
        <v>115</v>
      </c>
      <c r="H65" s="175">
        <v>4.1250000000000002E-2</v>
      </c>
      <c r="I65" s="396">
        <v>6.1222899999999999E-3</v>
      </c>
    </row>
    <row r="66" spans="1:9">
      <c r="A66" s="170" t="s">
        <v>1364</v>
      </c>
      <c r="B66" s="170" t="s">
        <v>503</v>
      </c>
      <c r="C66" s="170" t="s">
        <v>695</v>
      </c>
      <c r="D66" s="170" t="s">
        <v>694</v>
      </c>
      <c r="E66" s="170" t="s">
        <v>288</v>
      </c>
      <c r="F66" s="170" t="s">
        <v>1106</v>
      </c>
      <c r="G66" s="170" t="s">
        <v>111</v>
      </c>
      <c r="H66" s="175">
        <v>6.25E-2</v>
      </c>
      <c r="I66" s="396">
        <v>6.0787200000000001E-3</v>
      </c>
    </row>
    <row r="67" spans="1:9">
      <c r="A67" s="170" t="s">
        <v>1363</v>
      </c>
      <c r="B67" s="170" t="s">
        <v>503</v>
      </c>
      <c r="C67" s="170" t="s">
        <v>936</v>
      </c>
      <c r="D67" s="170" t="s">
        <v>935</v>
      </c>
      <c r="E67" s="170" t="s">
        <v>301</v>
      </c>
      <c r="F67" s="170" t="s">
        <v>1172</v>
      </c>
      <c r="G67" s="170" t="s">
        <v>114</v>
      </c>
      <c r="H67" s="175">
        <v>2.375E-2</v>
      </c>
      <c r="I67" s="396">
        <v>6.0733599999999999E-3</v>
      </c>
    </row>
    <row r="68" spans="1:9">
      <c r="A68" s="170" t="s">
        <v>1362</v>
      </c>
      <c r="B68" s="170" t="s">
        <v>503</v>
      </c>
      <c r="C68" s="170" t="s">
        <v>1014</v>
      </c>
      <c r="D68" s="170" t="s">
        <v>1013</v>
      </c>
      <c r="E68" s="170" t="s">
        <v>288</v>
      </c>
      <c r="F68" s="170" t="s">
        <v>1202</v>
      </c>
      <c r="G68" s="170" t="s">
        <v>43</v>
      </c>
      <c r="H68" s="175">
        <v>1.375E-2</v>
      </c>
      <c r="I68" s="396">
        <v>6.0084500000000002E-3</v>
      </c>
    </row>
    <row r="69" spans="1:9">
      <c r="A69" s="170" t="s">
        <v>1361</v>
      </c>
      <c r="B69" s="170" t="s">
        <v>503</v>
      </c>
      <c r="C69" s="170" t="s">
        <v>874</v>
      </c>
      <c r="D69" s="170" t="s">
        <v>873</v>
      </c>
      <c r="E69" s="170" t="s">
        <v>299</v>
      </c>
      <c r="F69" s="170" t="s">
        <v>1157</v>
      </c>
      <c r="G69" s="170" t="s">
        <v>114</v>
      </c>
      <c r="H69" s="175">
        <v>4.3749999999999997E-2</v>
      </c>
      <c r="I69" s="396">
        <v>5.9373000000000004E-3</v>
      </c>
    </row>
    <row r="70" spans="1:9">
      <c r="A70" s="170" t="s">
        <v>1360</v>
      </c>
      <c r="B70" s="170" t="s">
        <v>503</v>
      </c>
      <c r="C70" s="170" t="s">
        <v>877</v>
      </c>
      <c r="D70" s="170" t="s">
        <v>876</v>
      </c>
      <c r="E70" s="170" t="s">
        <v>290</v>
      </c>
      <c r="F70" s="170" t="s">
        <v>1158</v>
      </c>
      <c r="G70" s="170" t="s">
        <v>115</v>
      </c>
      <c r="H70" s="175">
        <v>5.1249999999999997E-2</v>
      </c>
      <c r="I70" s="396">
        <v>5.7775999999999999E-3</v>
      </c>
    </row>
    <row r="71" spans="1:9">
      <c r="A71" s="170" t="s">
        <v>1359</v>
      </c>
      <c r="B71" s="170" t="s">
        <v>503</v>
      </c>
      <c r="C71" s="170" t="s">
        <v>985</v>
      </c>
      <c r="D71" s="170" t="s">
        <v>984</v>
      </c>
      <c r="E71" s="170" t="s">
        <v>287</v>
      </c>
      <c r="F71" s="170" t="s">
        <v>1257</v>
      </c>
      <c r="G71" s="170" t="s">
        <v>63</v>
      </c>
      <c r="H71" s="175">
        <v>4.8750000000000002E-2</v>
      </c>
      <c r="I71" s="396">
        <v>5.7327400000000001E-3</v>
      </c>
    </row>
    <row r="72" spans="1:9">
      <c r="A72" s="170" t="s">
        <v>1358</v>
      </c>
      <c r="B72" s="170" t="s">
        <v>503</v>
      </c>
      <c r="C72" s="170" t="s">
        <v>832</v>
      </c>
      <c r="D72" s="170" t="s">
        <v>831</v>
      </c>
      <c r="E72" s="170" t="s">
        <v>288</v>
      </c>
      <c r="F72" s="170" t="s">
        <v>1147</v>
      </c>
      <c r="G72" s="170" t="s">
        <v>110</v>
      </c>
      <c r="H72" s="175">
        <v>9.5000000000000001E-2</v>
      </c>
      <c r="I72" s="396">
        <v>5.7170299999999997E-3</v>
      </c>
    </row>
    <row r="73" spans="1:9">
      <c r="A73" s="170" t="s">
        <v>1357</v>
      </c>
      <c r="B73" s="170" t="s">
        <v>503</v>
      </c>
      <c r="C73" s="170" t="s">
        <v>711</v>
      </c>
      <c r="D73" s="170" t="s">
        <v>710</v>
      </c>
      <c r="E73" s="170" t="s">
        <v>291</v>
      </c>
      <c r="F73" s="170" t="s">
        <v>1111</v>
      </c>
      <c r="G73" s="170" t="s">
        <v>114</v>
      </c>
      <c r="H73" s="175">
        <v>5.3749999999999999E-2</v>
      </c>
      <c r="I73" s="396">
        <v>5.6849200000000004E-3</v>
      </c>
    </row>
    <row r="74" spans="1:9">
      <c r="A74" s="170" t="s">
        <v>1356</v>
      </c>
      <c r="B74" s="170" t="s">
        <v>503</v>
      </c>
      <c r="C74" s="170" t="s">
        <v>907</v>
      </c>
      <c r="D74" s="170" t="s">
        <v>906</v>
      </c>
      <c r="E74" s="170" t="s">
        <v>291</v>
      </c>
      <c r="F74" s="170" t="s">
        <v>1167</v>
      </c>
      <c r="G74" s="170" t="s">
        <v>112</v>
      </c>
      <c r="H74" s="175">
        <v>3.5000000000000003E-2</v>
      </c>
      <c r="I74" s="396">
        <v>5.4741700000000004E-3</v>
      </c>
    </row>
    <row r="75" spans="1:9">
      <c r="A75" s="170" t="s">
        <v>1355</v>
      </c>
      <c r="B75" s="170" t="s">
        <v>503</v>
      </c>
      <c r="C75" s="170" t="s">
        <v>720</v>
      </c>
      <c r="D75" s="170" t="s">
        <v>719</v>
      </c>
      <c r="E75" s="170" t="s">
        <v>290</v>
      </c>
      <c r="F75" s="170" t="s">
        <v>1114</v>
      </c>
      <c r="G75" s="170" t="s">
        <v>111</v>
      </c>
      <c r="H75" s="175">
        <v>0.10375</v>
      </c>
      <c r="I75" s="396">
        <v>5.3619899999999996E-3</v>
      </c>
    </row>
    <row r="76" spans="1:9">
      <c r="A76" s="170" t="s">
        <v>1354</v>
      </c>
      <c r="B76" s="170" t="s">
        <v>503</v>
      </c>
      <c r="C76" s="170" t="s">
        <v>898</v>
      </c>
      <c r="D76" s="170" t="s">
        <v>897</v>
      </c>
      <c r="E76" s="170" t="s">
        <v>295</v>
      </c>
      <c r="F76" s="170" t="s">
        <v>1257</v>
      </c>
      <c r="G76" s="170" t="s">
        <v>43</v>
      </c>
      <c r="H76" s="175">
        <v>3.125E-2</v>
      </c>
      <c r="I76" s="396">
        <v>5.2265799999999998E-3</v>
      </c>
    </row>
    <row r="77" spans="1:9">
      <c r="A77" s="170" t="s">
        <v>1353</v>
      </c>
      <c r="B77" s="170" t="s">
        <v>503</v>
      </c>
      <c r="C77" s="170" t="s">
        <v>527</v>
      </c>
      <c r="D77" s="170" t="s">
        <v>526</v>
      </c>
      <c r="E77" s="170" t="s">
        <v>302</v>
      </c>
      <c r="F77" s="170" t="s">
        <v>1203</v>
      </c>
      <c r="G77" s="170" t="s">
        <v>111</v>
      </c>
      <c r="H77" s="175">
        <v>0</v>
      </c>
      <c r="I77" s="396">
        <v>5.1582499999999996E-3</v>
      </c>
    </row>
    <row r="78" spans="1:9">
      <c r="A78" s="170" t="s">
        <v>1352</v>
      </c>
      <c r="B78" s="170" t="s">
        <v>503</v>
      </c>
      <c r="C78" s="170" t="s">
        <v>598</v>
      </c>
      <c r="D78" s="170" t="s">
        <v>597</v>
      </c>
      <c r="E78" s="170" t="s">
        <v>293</v>
      </c>
      <c r="F78" s="170" t="s">
        <v>1081</v>
      </c>
      <c r="G78" s="170" t="s">
        <v>113</v>
      </c>
      <c r="H78" s="175">
        <v>5.3749999999999999E-2</v>
      </c>
      <c r="I78" s="396">
        <v>5.1402100000000001E-3</v>
      </c>
    </row>
    <row r="79" spans="1:9">
      <c r="A79" s="170" t="s">
        <v>1351</v>
      </c>
      <c r="B79" s="170" t="s">
        <v>503</v>
      </c>
      <c r="C79" s="170" t="s">
        <v>556</v>
      </c>
      <c r="D79" s="170" t="s">
        <v>555</v>
      </c>
      <c r="E79" s="170" t="s">
        <v>289</v>
      </c>
      <c r="F79" s="170" t="s">
        <v>1070</v>
      </c>
      <c r="G79" s="170" t="s">
        <v>115</v>
      </c>
      <c r="H79" s="175">
        <v>5.1249999999999997E-2</v>
      </c>
      <c r="I79" s="396">
        <v>5.1022899999999998E-3</v>
      </c>
    </row>
    <row r="80" spans="1:9">
      <c r="A80" s="170" t="s">
        <v>1350</v>
      </c>
      <c r="B80" s="170" t="s">
        <v>503</v>
      </c>
      <c r="C80" s="170" t="s">
        <v>510</v>
      </c>
      <c r="D80" s="170" t="s">
        <v>509</v>
      </c>
      <c r="E80" s="170" t="s">
        <v>289</v>
      </c>
      <c r="F80" s="170" t="s">
        <v>1118</v>
      </c>
      <c r="G80" s="170" t="s">
        <v>111</v>
      </c>
      <c r="H80" s="175">
        <v>6.404E-2</v>
      </c>
      <c r="I80" s="396">
        <v>5.0652600000000002E-3</v>
      </c>
    </row>
    <row r="81" spans="1:9">
      <c r="A81" s="170" t="s">
        <v>1349</v>
      </c>
      <c r="B81" s="170" t="s">
        <v>503</v>
      </c>
      <c r="C81" s="170" t="s">
        <v>996</v>
      </c>
      <c r="D81" s="170" t="s">
        <v>995</v>
      </c>
      <c r="E81" s="170" t="s">
        <v>287</v>
      </c>
      <c r="F81" s="170" t="s">
        <v>1257</v>
      </c>
      <c r="G81" s="170" t="s">
        <v>41</v>
      </c>
      <c r="H81" s="175">
        <v>5.8680000000000003E-2</v>
      </c>
      <c r="I81" s="396">
        <v>5.0398099999999996E-3</v>
      </c>
    </row>
    <row r="82" spans="1:9">
      <c r="A82" s="170" t="s">
        <v>1348</v>
      </c>
      <c r="B82" s="170" t="s">
        <v>503</v>
      </c>
      <c r="C82" s="170" t="s">
        <v>671</v>
      </c>
      <c r="D82" s="170" t="s">
        <v>670</v>
      </c>
      <c r="E82" s="170" t="s">
        <v>290</v>
      </c>
      <c r="F82" s="170" t="s">
        <v>1257</v>
      </c>
      <c r="G82" s="170" t="s">
        <v>41</v>
      </c>
      <c r="H82" s="175">
        <v>4.87E-2</v>
      </c>
      <c r="I82" s="396">
        <v>5.0191100000000002E-3</v>
      </c>
    </row>
    <row r="83" spans="1:9">
      <c r="A83" s="170" t="s">
        <v>1347</v>
      </c>
      <c r="B83" s="170" t="s">
        <v>503</v>
      </c>
      <c r="C83" s="170" t="s">
        <v>549</v>
      </c>
      <c r="D83" s="170" t="s">
        <v>548</v>
      </c>
      <c r="E83" s="170" t="s">
        <v>295</v>
      </c>
      <c r="F83" s="170" t="s">
        <v>1068</v>
      </c>
      <c r="G83" s="170" t="s">
        <v>113</v>
      </c>
      <c r="H83" s="175">
        <v>5.2499999999999998E-2</v>
      </c>
      <c r="I83" s="396">
        <v>4.9310400000000002E-3</v>
      </c>
    </row>
    <row r="84" spans="1:9">
      <c r="A84" s="170" t="s">
        <v>1346</v>
      </c>
      <c r="B84" s="170" t="s">
        <v>503</v>
      </c>
      <c r="C84" s="170" t="s">
        <v>610</v>
      </c>
      <c r="D84" s="170" t="s">
        <v>609</v>
      </c>
      <c r="E84" s="170" t="s">
        <v>293</v>
      </c>
      <c r="F84" s="170" t="s">
        <v>1084</v>
      </c>
      <c r="G84" s="170" t="s">
        <v>111</v>
      </c>
      <c r="H84" s="175">
        <v>7.0000000000000007E-2</v>
      </c>
      <c r="I84" s="396">
        <v>4.9236499999999999E-3</v>
      </c>
    </row>
    <row r="85" spans="1:9">
      <c r="A85" s="170" t="s">
        <v>1345</v>
      </c>
      <c r="B85" s="170" t="s">
        <v>503</v>
      </c>
      <c r="C85" s="170" t="s">
        <v>950</v>
      </c>
      <c r="D85" s="170" t="s">
        <v>949</v>
      </c>
      <c r="E85" s="170" t="s">
        <v>291</v>
      </c>
      <c r="F85" s="170" t="s">
        <v>1176</v>
      </c>
      <c r="G85" s="170" t="s">
        <v>113</v>
      </c>
      <c r="H85" s="175">
        <v>2.2499999999999999E-2</v>
      </c>
      <c r="I85" s="396">
        <v>4.9050400000000003E-3</v>
      </c>
    </row>
    <row r="86" spans="1:9">
      <c r="A86" s="170" t="s">
        <v>1344</v>
      </c>
      <c r="B86" s="170" t="s">
        <v>503</v>
      </c>
      <c r="C86" s="170" t="s">
        <v>744</v>
      </c>
      <c r="D86" s="170" t="s">
        <v>743</v>
      </c>
      <c r="E86" s="170" t="s">
        <v>291</v>
      </c>
      <c r="F86" s="170" t="s">
        <v>1124</v>
      </c>
      <c r="G86" s="170" t="s">
        <v>115</v>
      </c>
      <c r="H86" s="175">
        <v>5.2499999999999998E-2</v>
      </c>
      <c r="I86" s="396">
        <v>4.8461700000000003E-3</v>
      </c>
    </row>
    <row r="87" spans="1:9">
      <c r="A87" s="170" t="s">
        <v>1343</v>
      </c>
      <c r="B87" s="170" t="s">
        <v>503</v>
      </c>
      <c r="C87" s="170" t="s">
        <v>998</v>
      </c>
      <c r="D87" s="170" t="s">
        <v>997</v>
      </c>
      <c r="E87" s="170" t="s">
        <v>287</v>
      </c>
      <c r="F87" s="170" t="s">
        <v>1096</v>
      </c>
      <c r="G87" s="170" t="s">
        <v>114</v>
      </c>
      <c r="H87" s="175">
        <v>5.6250000000000001E-2</v>
      </c>
      <c r="I87" s="396">
        <v>4.8412400000000001E-3</v>
      </c>
    </row>
    <row r="88" spans="1:9">
      <c r="A88" s="170" t="s">
        <v>1342</v>
      </c>
      <c r="B88" s="170" t="s">
        <v>503</v>
      </c>
      <c r="C88" s="170" t="s">
        <v>506</v>
      </c>
      <c r="D88" s="170" t="s">
        <v>505</v>
      </c>
      <c r="E88" s="170" t="s">
        <v>289</v>
      </c>
      <c r="F88" s="170" t="s">
        <v>1116</v>
      </c>
      <c r="G88" s="170" t="s">
        <v>111</v>
      </c>
      <c r="H88" s="175">
        <v>5.7790000000000001E-2</v>
      </c>
      <c r="I88" s="396">
        <v>4.8151499999999998E-3</v>
      </c>
    </row>
    <row r="89" spans="1:9">
      <c r="A89" s="170" t="s">
        <v>1341</v>
      </c>
      <c r="B89" s="170" t="s">
        <v>503</v>
      </c>
      <c r="C89" s="170" t="s">
        <v>652</v>
      </c>
      <c r="D89" s="170" t="s">
        <v>651</v>
      </c>
      <c r="E89" s="170" t="s">
        <v>293</v>
      </c>
      <c r="F89" s="170" t="s">
        <v>1096</v>
      </c>
      <c r="G89" s="170" t="s">
        <v>110</v>
      </c>
      <c r="H89" s="175">
        <v>5.8749999999999997E-2</v>
      </c>
      <c r="I89" s="396">
        <v>4.6805199999999996E-3</v>
      </c>
    </row>
    <row r="90" spans="1:9">
      <c r="A90" s="170" t="s">
        <v>1340</v>
      </c>
      <c r="B90" s="170" t="s">
        <v>503</v>
      </c>
      <c r="C90" s="170" t="s">
        <v>816</v>
      </c>
      <c r="D90" s="170" t="s">
        <v>815</v>
      </c>
      <c r="E90" s="170" t="s">
        <v>304</v>
      </c>
      <c r="F90" s="170" t="s">
        <v>1142</v>
      </c>
      <c r="G90" s="170" t="s">
        <v>43</v>
      </c>
      <c r="H90" s="175">
        <v>7.1249999999999994E-2</v>
      </c>
      <c r="I90" s="396">
        <v>4.6196099999999997E-3</v>
      </c>
    </row>
    <row r="91" spans="1:9">
      <c r="A91" s="170" t="s">
        <v>1339</v>
      </c>
      <c r="B91" s="170" t="s">
        <v>503</v>
      </c>
      <c r="C91" s="170" t="s">
        <v>756</v>
      </c>
      <c r="D91" s="170" t="s">
        <v>755</v>
      </c>
      <c r="E91" s="170" t="s">
        <v>294</v>
      </c>
      <c r="F91" s="170" t="s">
        <v>1080</v>
      </c>
      <c r="G91" s="170" t="s">
        <v>112</v>
      </c>
      <c r="H91" s="175">
        <v>5.7500000000000002E-2</v>
      </c>
      <c r="I91" s="396">
        <v>4.5921599999999996E-3</v>
      </c>
    </row>
    <row r="92" spans="1:9">
      <c r="A92" s="170" t="s">
        <v>1338</v>
      </c>
      <c r="B92" s="170" t="s">
        <v>503</v>
      </c>
      <c r="C92" s="170" t="s">
        <v>947</v>
      </c>
      <c r="D92" s="170" t="s">
        <v>946</v>
      </c>
      <c r="E92" s="170" t="s">
        <v>291</v>
      </c>
      <c r="F92" s="170" t="s">
        <v>1175</v>
      </c>
      <c r="G92" s="170" t="s">
        <v>114</v>
      </c>
      <c r="H92" s="175">
        <v>3.875E-2</v>
      </c>
      <c r="I92" s="396">
        <v>4.5475400000000001E-3</v>
      </c>
    </row>
    <row r="93" spans="1:9">
      <c r="A93" s="170" t="s">
        <v>1337</v>
      </c>
      <c r="B93" s="170" t="s">
        <v>503</v>
      </c>
      <c r="C93" s="170" t="s">
        <v>501</v>
      </c>
      <c r="D93" s="170" t="s">
        <v>500</v>
      </c>
      <c r="E93" s="170" t="s">
        <v>289</v>
      </c>
      <c r="F93" s="170" t="s">
        <v>1101</v>
      </c>
      <c r="G93" s="170" t="s">
        <v>111</v>
      </c>
      <c r="H93" s="175">
        <v>6.6049999999999998E-2</v>
      </c>
      <c r="I93" s="396">
        <v>4.5264700000000003E-3</v>
      </c>
    </row>
    <row r="94" spans="1:9">
      <c r="A94" s="170" t="s">
        <v>1336</v>
      </c>
      <c r="B94" s="170" t="s">
        <v>503</v>
      </c>
      <c r="C94" s="170" t="s">
        <v>759</v>
      </c>
      <c r="D94" s="170" t="s">
        <v>758</v>
      </c>
      <c r="E94" s="170" t="s">
        <v>292</v>
      </c>
      <c r="F94" s="170" t="s">
        <v>1127</v>
      </c>
      <c r="G94" s="170" t="s">
        <v>111</v>
      </c>
      <c r="H94" s="175">
        <v>7.3749999999999996E-2</v>
      </c>
      <c r="I94" s="396">
        <v>4.4928600000000004E-3</v>
      </c>
    </row>
    <row r="95" spans="1:9">
      <c r="A95" s="170" t="s">
        <v>1335</v>
      </c>
      <c r="B95" s="170" t="s">
        <v>503</v>
      </c>
      <c r="C95" s="170" t="s">
        <v>562</v>
      </c>
      <c r="D95" s="170" t="s">
        <v>561</v>
      </c>
      <c r="E95" s="170" t="s">
        <v>289</v>
      </c>
      <c r="F95" s="170" t="s">
        <v>1072</v>
      </c>
      <c r="G95" s="170" t="s">
        <v>111</v>
      </c>
      <c r="H95" s="175">
        <v>0.05</v>
      </c>
      <c r="I95" s="396">
        <v>4.4463699999999998E-3</v>
      </c>
    </row>
    <row r="96" spans="1:9">
      <c r="A96" s="170" t="s">
        <v>1334</v>
      </c>
      <c r="B96" s="170" t="s">
        <v>503</v>
      </c>
      <c r="C96" s="170" t="s">
        <v>769</v>
      </c>
      <c r="D96" s="170" t="s">
        <v>768</v>
      </c>
      <c r="E96" s="170" t="s">
        <v>289</v>
      </c>
      <c r="F96" s="170" t="s">
        <v>1130</v>
      </c>
      <c r="G96" s="170" t="s">
        <v>115</v>
      </c>
      <c r="H96" s="175">
        <v>7.7499999999999999E-2</v>
      </c>
      <c r="I96" s="396">
        <v>4.42751E-3</v>
      </c>
    </row>
    <row r="97" spans="1:9">
      <c r="A97" s="170" t="s">
        <v>1333</v>
      </c>
      <c r="B97" s="170" t="s">
        <v>503</v>
      </c>
      <c r="C97" s="170" t="s">
        <v>607</v>
      </c>
      <c r="D97" s="170" t="s">
        <v>606</v>
      </c>
      <c r="E97" s="170" t="s">
        <v>289</v>
      </c>
      <c r="F97" s="170" t="s">
        <v>1083</v>
      </c>
      <c r="G97" s="170" t="s">
        <v>114</v>
      </c>
      <c r="H97" s="175">
        <v>4.8750000000000002E-2</v>
      </c>
      <c r="I97" s="396">
        <v>4.2932700000000001E-3</v>
      </c>
    </row>
    <row r="98" spans="1:9">
      <c r="A98" s="170" t="s">
        <v>1332</v>
      </c>
      <c r="B98" s="170" t="s">
        <v>503</v>
      </c>
      <c r="C98" s="170" t="s">
        <v>602</v>
      </c>
      <c r="D98" s="170" t="s">
        <v>601</v>
      </c>
      <c r="E98" s="170" t="s">
        <v>300</v>
      </c>
      <c r="F98" s="170" t="s">
        <v>1082</v>
      </c>
      <c r="G98" s="170" t="s">
        <v>115</v>
      </c>
      <c r="H98" s="175">
        <v>0.04</v>
      </c>
      <c r="I98" s="396">
        <v>4.2556099999999999E-3</v>
      </c>
    </row>
    <row r="99" spans="1:9">
      <c r="A99" s="170" t="s">
        <v>1331</v>
      </c>
      <c r="B99" s="170" t="s">
        <v>503</v>
      </c>
      <c r="C99" s="170" t="s">
        <v>886</v>
      </c>
      <c r="D99" s="170" t="s">
        <v>885</v>
      </c>
      <c r="E99" s="170" t="s">
        <v>287</v>
      </c>
      <c r="F99" s="170" t="s">
        <v>1161</v>
      </c>
      <c r="G99" s="170" t="s">
        <v>111</v>
      </c>
      <c r="H99" s="175">
        <v>4.2500000000000003E-2</v>
      </c>
      <c r="I99" s="396">
        <v>4.2209600000000002E-3</v>
      </c>
    </row>
    <row r="100" spans="1:9">
      <c r="A100" s="170" t="s">
        <v>1330</v>
      </c>
      <c r="B100" s="170" t="s">
        <v>503</v>
      </c>
      <c r="C100" s="170" t="s">
        <v>963</v>
      </c>
      <c r="D100" s="170" t="s">
        <v>962</v>
      </c>
      <c r="E100" s="170" t="s">
        <v>287</v>
      </c>
      <c r="F100" s="170" t="s">
        <v>1179</v>
      </c>
      <c r="G100" s="170" t="s">
        <v>111</v>
      </c>
      <c r="H100" s="175">
        <v>3.3750000000000002E-2</v>
      </c>
      <c r="I100" s="396">
        <v>4.1824499999999999E-3</v>
      </c>
    </row>
    <row r="101" spans="1:9">
      <c r="A101" s="170" t="s">
        <v>1329</v>
      </c>
      <c r="B101" s="170" t="s">
        <v>503</v>
      </c>
      <c r="C101" s="170" t="s">
        <v>516</v>
      </c>
      <c r="D101" s="170" t="s">
        <v>515</v>
      </c>
      <c r="E101" s="170" t="s">
        <v>292</v>
      </c>
      <c r="F101" s="170" t="s">
        <v>1121</v>
      </c>
      <c r="G101" s="170" t="s">
        <v>110</v>
      </c>
      <c r="H101" s="175">
        <v>6.105E-2</v>
      </c>
      <c r="I101" s="396">
        <v>4.1725099999999999E-3</v>
      </c>
    </row>
    <row r="102" spans="1:9">
      <c r="A102" s="170" t="s">
        <v>1328</v>
      </c>
      <c r="B102" s="170" t="s">
        <v>503</v>
      </c>
      <c r="C102" s="170" t="s">
        <v>687</v>
      </c>
      <c r="D102" s="170" t="s">
        <v>686</v>
      </c>
      <c r="E102" s="170" t="s">
        <v>294</v>
      </c>
      <c r="F102" s="170" t="s">
        <v>1257</v>
      </c>
      <c r="G102" s="170" t="s">
        <v>115</v>
      </c>
      <c r="H102" s="175">
        <v>4.8500000000000001E-2</v>
      </c>
      <c r="I102" s="396">
        <v>4.1434999999999996E-3</v>
      </c>
    </row>
    <row r="103" spans="1:9">
      <c r="A103" s="170" t="s">
        <v>1327</v>
      </c>
      <c r="B103" s="170" t="s">
        <v>503</v>
      </c>
      <c r="C103" s="170" t="s">
        <v>723</v>
      </c>
      <c r="D103" s="170" t="s">
        <v>722</v>
      </c>
      <c r="E103" s="170" t="s">
        <v>289</v>
      </c>
      <c r="F103" s="170" t="s">
        <v>1115</v>
      </c>
      <c r="G103" s="170" t="s">
        <v>115</v>
      </c>
      <c r="H103" s="175">
        <v>4.4999999999999998E-2</v>
      </c>
      <c r="I103" s="396">
        <v>4.0891499999999997E-3</v>
      </c>
    </row>
    <row r="104" spans="1:9">
      <c r="A104" s="170" t="s">
        <v>215</v>
      </c>
      <c r="B104" s="170" t="s">
        <v>503</v>
      </c>
      <c r="C104" s="170" t="s">
        <v>953</v>
      </c>
      <c r="D104" s="170" t="s">
        <v>952</v>
      </c>
      <c r="E104" s="170" t="s">
        <v>291</v>
      </c>
      <c r="F104" s="170" t="s">
        <v>1177</v>
      </c>
      <c r="G104" s="170" t="s">
        <v>114</v>
      </c>
      <c r="H104" s="175">
        <v>6.2500000000000003E-3</v>
      </c>
      <c r="I104" s="396">
        <v>4.0809699999999997E-3</v>
      </c>
    </row>
    <row r="105" spans="1:9">
      <c r="A105" s="170" t="s">
        <v>1326</v>
      </c>
      <c r="B105" s="170" t="s">
        <v>503</v>
      </c>
      <c r="C105" s="170" t="s">
        <v>914</v>
      </c>
      <c r="D105" s="170" t="s">
        <v>913</v>
      </c>
      <c r="E105" s="170" t="s">
        <v>291</v>
      </c>
      <c r="F105" s="170" t="s">
        <v>1117</v>
      </c>
      <c r="G105" s="170" t="s">
        <v>113</v>
      </c>
      <c r="H105" s="175">
        <v>3.125E-2</v>
      </c>
      <c r="I105" s="396">
        <v>4.0598099999999996E-3</v>
      </c>
    </row>
    <row r="106" spans="1:9">
      <c r="A106" s="170" t="s">
        <v>1325</v>
      </c>
      <c r="B106" s="170" t="s">
        <v>503</v>
      </c>
      <c r="C106" s="170" t="s">
        <v>994</v>
      </c>
      <c r="D106" s="170" t="s">
        <v>993</v>
      </c>
      <c r="E106" s="170" t="s">
        <v>287</v>
      </c>
      <c r="F106" s="170" t="s">
        <v>1257</v>
      </c>
      <c r="G106" s="170" t="s">
        <v>63</v>
      </c>
      <c r="H106" s="175">
        <v>5.1249999999999997E-2</v>
      </c>
      <c r="I106" s="396">
        <v>4.0514100000000001E-3</v>
      </c>
    </row>
    <row r="107" spans="1:9">
      <c r="A107" s="170" t="s">
        <v>1324</v>
      </c>
      <c r="B107" s="170" t="s">
        <v>503</v>
      </c>
      <c r="C107" s="170" t="s">
        <v>592</v>
      </c>
      <c r="D107" s="170" t="s">
        <v>591</v>
      </c>
      <c r="E107" s="170" t="s">
        <v>287</v>
      </c>
      <c r="F107" s="170" t="s">
        <v>1077</v>
      </c>
      <c r="G107" s="170" t="s">
        <v>111</v>
      </c>
      <c r="H107" s="175">
        <v>5.5E-2</v>
      </c>
      <c r="I107" s="396">
        <v>4.0308100000000001E-3</v>
      </c>
    </row>
    <row r="108" spans="1:9">
      <c r="A108" s="170" t="s">
        <v>1323</v>
      </c>
      <c r="B108" s="170" t="s">
        <v>503</v>
      </c>
      <c r="C108" s="170" t="s">
        <v>790</v>
      </c>
      <c r="D108" s="170" t="s">
        <v>789</v>
      </c>
      <c r="E108" s="170" t="s">
        <v>294</v>
      </c>
      <c r="F108" s="170" t="s">
        <v>1257</v>
      </c>
      <c r="G108" s="170" t="s">
        <v>117</v>
      </c>
      <c r="H108" s="175">
        <v>4.8750000000000002E-2</v>
      </c>
      <c r="I108" s="396">
        <v>4.0141600000000001E-3</v>
      </c>
    </row>
    <row r="109" spans="1:9">
      <c r="A109" s="170" t="s">
        <v>1322</v>
      </c>
      <c r="B109" s="170" t="s">
        <v>503</v>
      </c>
      <c r="C109" s="170" t="s">
        <v>904</v>
      </c>
      <c r="D109" s="170" t="s">
        <v>903</v>
      </c>
      <c r="E109" s="170" t="s">
        <v>292</v>
      </c>
      <c r="F109" s="170" t="s">
        <v>1166</v>
      </c>
      <c r="G109" s="170" t="s">
        <v>113</v>
      </c>
      <c r="H109" s="175">
        <v>2.5000000000000001E-2</v>
      </c>
      <c r="I109" s="396">
        <v>3.96116E-3</v>
      </c>
    </row>
    <row r="110" spans="1:9">
      <c r="A110" s="170" t="s">
        <v>1321</v>
      </c>
      <c r="B110" s="170" t="s">
        <v>503</v>
      </c>
      <c r="C110" s="170" t="s">
        <v>573</v>
      </c>
      <c r="D110" s="170" t="s">
        <v>572</v>
      </c>
      <c r="E110" s="170" t="s">
        <v>290</v>
      </c>
      <c r="F110" s="170" t="s">
        <v>1320</v>
      </c>
      <c r="G110" s="170" t="s">
        <v>111</v>
      </c>
      <c r="H110" s="175">
        <v>4.8750000000000002E-2</v>
      </c>
      <c r="I110" s="396">
        <v>3.9519300000000002E-3</v>
      </c>
    </row>
    <row r="111" spans="1:9">
      <c r="A111" s="170" t="s">
        <v>1319</v>
      </c>
      <c r="B111" s="170" t="s">
        <v>503</v>
      </c>
      <c r="C111" s="170" t="s">
        <v>519</v>
      </c>
      <c r="D111" s="170" t="s">
        <v>518</v>
      </c>
      <c r="E111" s="170" t="s">
        <v>287</v>
      </c>
      <c r="F111" s="170" t="s">
        <v>1077</v>
      </c>
      <c r="G111" s="170" t="s">
        <v>111</v>
      </c>
      <c r="H111" s="175">
        <v>5.3499999999999999E-2</v>
      </c>
      <c r="I111" s="396">
        <v>3.9198599999999998E-3</v>
      </c>
    </row>
    <row r="112" spans="1:9">
      <c r="A112" s="170" t="s">
        <v>1318</v>
      </c>
      <c r="B112" s="170" t="s">
        <v>503</v>
      </c>
      <c r="C112" s="170" t="s">
        <v>1001</v>
      </c>
      <c r="D112" s="170" t="s">
        <v>1000</v>
      </c>
      <c r="E112" s="170" t="s">
        <v>287</v>
      </c>
      <c r="F112" s="170" t="s">
        <v>1195</v>
      </c>
      <c r="G112" s="170" t="s">
        <v>115</v>
      </c>
      <c r="H112" s="175">
        <v>1.7500000000000002E-2</v>
      </c>
      <c r="I112" s="396">
        <v>3.8545900000000002E-3</v>
      </c>
    </row>
    <row r="113" spans="1:9">
      <c r="A113" s="170" t="s">
        <v>1317</v>
      </c>
      <c r="B113" s="170" t="s">
        <v>503</v>
      </c>
      <c r="C113" s="170" t="s">
        <v>835</v>
      </c>
      <c r="D113" s="170" t="s">
        <v>834</v>
      </c>
      <c r="E113" s="170" t="s">
        <v>291</v>
      </c>
      <c r="F113" s="170" t="s">
        <v>1148</v>
      </c>
      <c r="G113" s="170" t="s">
        <v>113</v>
      </c>
      <c r="H113" s="175">
        <v>6.3750000000000001E-2</v>
      </c>
      <c r="I113" s="396">
        <v>3.8316000000000001E-3</v>
      </c>
    </row>
    <row r="114" spans="1:9">
      <c r="A114" s="170" t="s">
        <v>1316</v>
      </c>
      <c r="B114" s="170" t="s">
        <v>503</v>
      </c>
      <c r="C114" s="170" t="s">
        <v>585</v>
      </c>
      <c r="D114" s="170" t="s">
        <v>584</v>
      </c>
      <c r="E114" s="170" t="s">
        <v>299</v>
      </c>
      <c r="F114" s="170" t="s">
        <v>1078</v>
      </c>
      <c r="G114" s="170" t="s">
        <v>114</v>
      </c>
      <c r="H114" s="175">
        <v>4.1250000000000002E-2</v>
      </c>
      <c r="I114" s="396">
        <v>3.8292299999999999E-3</v>
      </c>
    </row>
    <row r="115" spans="1:9">
      <c r="A115" s="170" t="s">
        <v>1315</v>
      </c>
      <c r="B115" s="170" t="s">
        <v>503</v>
      </c>
      <c r="C115" s="170" t="s">
        <v>920</v>
      </c>
      <c r="D115" s="170" t="s">
        <v>802</v>
      </c>
      <c r="E115" s="170" t="s">
        <v>290</v>
      </c>
      <c r="F115" s="170" t="s">
        <v>1257</v>
      </c>
      <c r="G115" s="170" t="s">
        <v>41</v>
      </c>
      <c r="H115" s="175">
        <v>2.376E-2</v>
      </c>
      <c r="I115" s="396">
        <v>3.82424E-3</v>
      </c>
    </row>
    <row r="116" spans="1:9">
      <c r="A116" s="170" t="s">
        <v>1314</v>
      </c>
      <c r="B116" s="170" t="s">
        <v>503</v>
      </c>
      <c r="C116" s="170" t="s">
        <v>595</v>
      </c>
      <c r="D116" s="170" t="s">
        <v>594</v>
      </c>
      <c r="E116" s="170" t="s">
        <v>293</v>
      </c>
      <c r="F116" s="170" t="s">
        <v>1080</v>
      </c>
      <c r="G116" s="170" t="s">
        <v>113</v>
      </c>
      <c r="H116" s="175">
        <v>5.5E-2</v>
      </c>
      <c r="I116" s="396">
        <v>3.8230999999999998E-3</v>
      </c>
    </row>
    <row r="117" spans="1:9">
      <c r="A117" s="170" t="s">
        <v>1313</v>
      </c>
      <c r="B117" s="170" t="s">
        <v>503</v>
      </c>
      <c r="C117" s="170" t="s">
        <v>580</v>
      </c>
      <c r="D117" s="170" t="s">
        <v>579</v>
      </c>
      <c r="E117" s="170" t="s">
        <v>297</v>
      </c>
      <c r="F117" s="170" t="s">
        <v>1077</v>
      </c>
      <c r="G117" s="170" t="s">
        <v>112</v>
      </c>
      <c r="H117" s="175">
        <v>4.7500000000000001E-2</v>
      </c>
      <c r="I117" s="396">
        <v>3.7769399999999999E-3</v>
      </c>
    </row>
    <row r="118" spans="1:9">
      <c r="A118" s="170" t="s">
        <v>1312</v>
      </c>
      <c r="B118" s="170" t="s">
        <v>503</v>
      </c>
      <c r="C118" s="170" t="s">
        <v>699</v>
      </c>
      <c r="D118" s="170" t="s">
        <v>698</v>
      </c>
      <c r="E118" s="170" t="s">
        <v>292</v>
      </c>
      <c r="F118" s="170" t="s">
        <v>1107</v>
      </c>
      <c r="G118" s="170" t="s">
        <v>112</v>
      </c>
      <c r="H118" s="175">
        <v>7.2499999999999995E-2</v>
      </c>
      <c r="I118" s="396">
        <v>3.7578099999999999E-3</v>
      </c>
    </row>
    <row r="119" spans="1:9">
      <c r="A119" s="170" t="s">
        <v>1311</v>
      </c>
      <c r="B119" s="170" t="s">
        <v>503</v>
      </c>
      <c r="C119" s="170" t="s">
        <v>859</v>
      </c>
      <c r="D119" s="170" t="s">
        <v>802</v>
      </c>
      <c r="E119" s="170" t="s">
        <v>290</v>
      </c>
      <c r="F119" s="170" t="s">
        <v>1257</v>
      </c>
      <c r="G119" s="170" t="s">
        <v>41</v>
      </c>
      <c r="H119" s="175">
        <v>7.1249999999999994E-2</v>
      </c>
      <c r="I119" s="396">
        <v>3.7456199999999999E-3</v>
      </c>
    </row>
    <row r="120" spans="1:9">
      <c r="A120" s="170" t="s">
        <v>1310</v>
      </c>
      <c r="B120" s="170" t="s">
        <v>503</v>
      </c>
      <c r="C120" s="170" t="s">
        <v>786</v>
      </c>
      <c r="D120" s="170" t="s">
        <v>785</v>
      </c>
      <c r="E120" s="170" t="s">
        <v>292</v>
      </c>
      <c r="F120" s="170" t="s">
        <v>1135</v>
      </c>
      <c r="G120" s="170" t="s">
        <v>43</v>
      </c>
      <c r="H120" s="175">
        <v>5.1249999999999997E-2</v>
      </c>
      <c r="I120" s="396">
        <v>3.7422699999999998E-3</v>
      </c>
    </row>
    <row r="121" spans="1:9">
      <c r="A121" s="170" t="s">
        <v>1309</v>
      </c>
      <c r="B121" s="170" t="s">
        <v>503</v>
      </c>
      <c r="C121" s="170" t="s">
        <v>777</v>
      </c>
      <c r="D121" s="170" t="s">
        <v>776</v>
      </c>
      <c r="E121" s="170" t="s">
        <v>289</v>
      </c>
      <c r="F121" s="170" t="s">
        <v>1132</v>
      </c>
      <c r="G121" s="170" t="s">
        <v>111</v>
      </c>
      <c r="H121" s="175">
        <v>7.1249999999999994E-2</v>
      </c>
      <c r="I121" s="396">
        <v>3.7133700000000001E-3</v>
      </c>
    </row>
    <row r="122" spans="1:9">
      <c r="A122" s="170" t="s">
        <v>1308</v>
      </c>
      <c r="B122" s="170" t="s">
        <v>503</v>
      </c>
      <c r="C122" s="170" t="s">
        <v>783</v>
      </c>
      <c r="D122" s="170" t="s">
        <v>782</v>
      </c>
      <c r="E122" s="170" t="s">
        <v>292</v>
      </c>
      <c r="F122" s="170" t="s">
        <v>1134</v>
      </c>
      <c r="G122" s="170" t="s">
        <v>111</v>
      </c>
      <c r="H122" s="175">
        <v>5.6250000000000001E-2</v>
      </c>
      <c r="I122" s="396">
        <v>3.6921200000000001E-3</v>
      </c>
    </row>
    <row r="123" spans="1:9">
      <c r="A123" s="170" t="s">
        <v>1307</v>
      </c>
      <c r="B123" s="170" t="s">
        <v>503</v>
      </c>
      <c r="C123" s="170" t="s">
        <v>852</v>
      </c>
      <c r="D123" s="170" t="s">
        <v>851</v>
      </c>
      <c r="E123" s="170" t="s">
        <v>289</v>
      </c>
      <c r="F123" s="170" t="s">
        <v>1257</v>
      </c>
      <c r="G123" s="170" t="s">
        <v>63</v>
      </c>
      <c r="H123" s="175">
        <v>6.6250000000000003E-2</v>
      </c>
      <c r="I123" s="396">
        <v>3.6622099999999999E-3</v>
      </c>
    </row>
    <row r="124" spans="1:9">
      <c r="A124" s="170" t="s">
        <v>1306</v>
      </c>
      <c r="B124" s="170" t="s">
        <v>503</v>
      </c>
      <c r="C124" s="170" t="s">
        <v>966</v>
      </c>
      <c r="D124" s="170" t="s">
        <v>965</v>
      </c>
      <c r="E124" s="170" t="s">
        <v>301</v>
      </c>
      <c r="F124" s="170" t="s">
        <v>1180</v>
      </c>
      <c r="G124" s="170" t="s">
        <v>114</v>
      </c>
      <c r="H124" s="175">
        <v>2.2499999999999999E-2</v>
      </c>
      <c r="I124" s="396">
        <v>3.62101E-3</v>
      </c>
    </row>
    <row r="125" spans="1:9">
      <c r="A125" s="170" t="s">
        <v>1305</v>
      </c>
      <c r="B125" s="170" t="s">
        <v>503</v>
      </c>
      <c r="C125" s="170" t="s">
        <v>640</v>
      </c>
      <c r="D125" s="170" t="s">
        <v>639</v>
      </c>
      <c r="E125" s="170" t="s">
        <v>289</v>
      </c>
      <c r="F125" s="170" t="s">
        <v>1093</v>
      </c>
      <c r="G125" s="170" t="s">
        <v>110</v>
      </c>
      <c r="H125" s="175">
        <v>0.09</v>
      </c>
      <c r="I125" s="396">
        <v>3.6209100000000002E-3</v>
      </c>
    </row>
    <row r="126" spans="1:9">
      <c r="A126" s="170" t="s">
        <v>1304</v>
      </c>
      <c r="B126" s="170" t="s">
        <v>503</v>
      </c>
      <c r="C126" s="170" t="s">
        <v>637</v>
      </c>
      <c r="D126" s="170" t="s">
        <v>636</v>
      </c>
      <c r="E126" s="170" t="s">
        <v>305</v>
      </c>
      <c r="F126" s="170" t="s">
        <v>1091</v>
      </c>
      <c r="G126" s="170" t="s">
        <v>114</v>
      </c>
      <c r="H126" s="175">
        <v>4.4999999999999998E-2</v>
      </c>
      <c r="I126" s="396">
        <v>3.5755399999999999E-3</v>
      </c>
    </row>
    <row r="127" spans="1:9">
      <c r="A127" s="170" t="s">
        <v>1303</v>
      </c>
      <c r="B127" s="170" t="s">
        <v>503</v>
      </c>
      <c r="C127" s="170" t="s">
        <v>955</v>
      </c>
      <c r="D127" s="170" t="s">
        <v>954</v>
      </c>
      <c r="E127" s="170" t="s">
        <v>290</v>
      </c>
      <c r="F127" s="170" t="s">
        <v>1151</v>
      </c>
      <c r="G127" s="170" t="s">
        <v>113</v>
      </c>
      <c r="H127" s="175">
        <v>1.8749999999999999E-2</v>
      </c>
      <c r="I127" s="396">
        <v>3.5646800000000002E-3</v>
      </c>
    </row>
    <row r="128" spans="1:9">
      <c r="A128" s="170" t="s">
        <v>1302</v>
      </c>
      <c r="B128" s="170" t="s">
        <v>503</v>
      </c>
      <c r="C128" s="170" t="s">
        <v>840</v>
      </c>
      <c r="D128" s="170" t="s">
        <v>839</v>
      </c>
      <c r="E128" s="170" t="s">
        <v>296</v>
      </c>
      <c r="F128" s="170" t="s">
        <v>1149</v>
      </c>
      <c r="G128" s="170" t="s">
        <v>113</v>
      </c>
      <c r="H128" s="175">
        <v>7.2499999999999995E-2</v>
      </c>
      <c r="I128" s="396">
        <v>3.5466199999999999E-3</v>
      </c>
    </row>
    <row r="129" spans="1:9">
      <c r="A129" s="170" t="s">
        <v>1301</v>
      </c>
      <c r="B129" s="170" t="s">
        <v>503</v>
      </c>
      <c r="C129" s="170" t="s">
        <v>1017</v>
      </c>
      <c r="D129" s="170" t="s">
        <v>1016</v>
      </c>
      <c r="E129" s="170" t="s">
        <v>302</v>
      </c>
      <c r="F129" s="170" t="s">
        <v>1204</v>
      </c>
      <c r="G129" s="170" t="s">
        <v>115</v>
      </c>
      <c r="H129" s="175">
        <v>5.7500000000000002E-2</v>
      </c>
      <c r="I129" s="396">
        <v>3.4989499999999998E-3</v>
      </c>
    </row>
    <row r="130" spans="1:9">
      <c r="A130" s="170" t="s">
        <v>1300</v>
      </c>
      <c r="B130" s="170" t="s">
        <v>503</v>
      </c>
      <c r="C130" s="170" t="s">
        <v>633</v>
      </c>
      <c r="D130" s="170" t="s">
        <v>632</v>
      </c>
      <c r="E130" s="170" t="s">
        <v>287</v>
      </c>
      <c r="F130" s="170" t="s">
        <v>1091</v>
      </c>
      <c r="G130" s="170" t="s">
        <v>115</v>
      </c>
      <c r="H130" s="175">
        <v>4.4999999999999998E-2</v>
      </c>
      <c r="I130" s="396">
        <v>3.4302099999999999E-3</v>
      </c>
    </row>
    <row r="131" spans="1:9">
      <c r="A131" s="170" t="s">
        <v>1299</v>
      </c>
      <c r="B131" s="170" t="s">
        <v>503</v>
      </c>
      <c r="C131" s="170" t="s">
        <v>675</v>
      </c>
      <c r="D131" s="170" t="s">
        <v>674</v>
      </c>
      <c r="E131" s="170" t="s">
        <v>290</v>
      </c>
      <c r="F131" s="170" t="s">
        <v>1096</v>
      </c>
      <c r="G131" s="170" t="s">
        <v>112</v>
      </c>
      <c r="H131" s="175">
        <v>5.8749999999999997E-2</v>
      </c>
      <c r="I131" s="396">
        <v>3.3774500000000002E-3</v>
      </c>
    </row>
    <row r="132" spans="1:9">
      <c r="A132" s="170" t="s">
        <v>1298</v>
      </c>
      <c r="B132" s="170" t="s">
        <v>503</v>
      </c>
      <c r="C132" s="170" t="s">
        <v>889</v>
      </c>
      <c r="D132" s="170" t="s">
        <v>888</v>
      </c>
      <c r="E132" s="170" t="s">
        <v>292</v>
      </c>
      <c r="F132" s="170" t="s">
        <v>1162</v>
      </c>
      <c r="G132" s="170" t="s">
        <v>111</v>
      </c>
      <c r="H132" s="175">
        <v>0.03</v>
      </c>
      <c r="I132" s="396">
        <v>3.3163200000000002E-3</v>
      </c>
    </row>
    <row r="133" spans="1:9">
      <c r="A133" s="170" t="s">
        <v>1297</v>
      </c>
      <c r="B133" s="170" t="s">
        <v>503</v>
      </c>
      <c r="C133" s="170" t="s">
        <v>928</v>
      </c>
      <c r="D133" s="170" t="s">
        <v>927</v>
      </c>
      <c r="E133" s="170" t="s">
        <v>295</v>
      </c>
      <c r="F133" s="170" t="s">
        <v>1171</v>
      </c>
      <c r="G133" s="170" t="s">
        <v>111</v>
      </c>
      <c r="H133" s="175">
        <v>5.2499999999999998E-2</v>
      </c>
      <c r="I133" s="396">
        <v>3.2672999999999999E-3</v>
      </c>
    </row>
    <row r="134" spans="1:9">
      <c r="A134" s="170" t="s">
        <v>1296</v>
      </c>
      <c r="B134" s="170" t="s">
        <v>503</v>
      </c>
      <c r="C134" s="170" t="s">
        <v>659</v>
      </c>
      <c r="D134" s="170" t="s">
        <v>658</v>
      </c>
      <c r="E134" s="170" t="s">
        <v>288</v>
      </c>
      <c r="F134" s="170" t="s">
        <v>1097</v>
      </c>
      <c r="G134" s="170" t="s">
        <v>41</v>
      </c>
      <c r="H134" s="175">
        <v>5.2499999999999998E-2</v>
      </c>
      <c r="I134" s="396">
        <v>3.20097E-3</v>
      </c>
    </row>
    <row r="135" spans="1:9">
      <c r="A135" s="170" t="s">
        <v>1295</v>
      </c>
      <c r="B135" s="170" t="s">
        <v>503</v>
      </c>
      <c r="C135" s="170" t="s">
        <v>714</v>
      </c>
      <c r="D135" s="170" t="s">
        <v>713</v>
      </c>
      <c r="E135" s="170" t="s">
        <v>293</v>
      </c>
      <c r="F135" s="170" t="s">
        <v>1294</v>
      </c>
      <c r="G135" s="170" t="s">
        <v>41</v>
      </c>
      <c r="H135" s="175">
        <v>0.06</v>
      </c>
      <c r="I135" s="396">
        <v>3.1862399999999999E-3</v>
      </c>
    </row>
    <row r="136" spans="1:9">
      <c r="A136" s="170" t="s">
        <v>1293</v>
      </c>
      <c r="B136" s="170" t="s">
        <v>503</v>
      </c>
      <c r="C136" s="170" t="s">
        <v>772</v>
      </c>
      <c r="D136" s="170" t="s">
        <v>771</v>
      </c>
      <c r="E136" s="170" t="s">
        <v>297</v>
      </c>
      <c r="F136" s="170" t="s">
        <v>1131</v>
      </c>
      <c r="G136" s="170" t="s">
        <v>112</v>
      </c>
      <c r="H136" s="175">
        <v>0.105</v>
      </c>
      <c r="I136" s="396">
        <v>3.1688699999999998E-3</v>
      </c>
    </row>
    <row r="137" spans="1:9">
      <c r="A137" s="170" t="s">
        <v>1292</v>
      </c>
      <c r="B137" s="170" t="s">
        <v>503</v>
      </c>
      <c r="C137" s="170" t="s">
        <v>792</v>
      </c>
      <c r="D137" s="170" t="s">
        <v>791</v>
      </c>
      <c r="E137" s="170" t="s">
        <v>289</v>
      </c>
      <c r="F137" s="170" t="s">
        <v>1257</v>
      </c>
      <c r="G137" s="170" t="s">
        <v>63</v>
      </c>
      <c r="H137" s="175">
        <v>4.7500000000000001E-2</v>
      </c>
      <c r="I137" s="396">
        <v>3.1448800000000001E-3</v>
      </c>
    </row>
    <row r="138" spans="1:9">
      <c r="A138" s="170" t="s">
        <v>1291</v>
      </c>
      <c r="B138" s="170" t="s">
        <v>503</v>
      </c>
      <c r="C138" s="170" t="s">
        <v>988</v>
      </c>
      <c r="D138" s="170" t="s">
        <v>987</v>
      </c>
      <c r="E138" s="170" t="s">
        <v>287</v>
      </c>
      <c r="F138" s="170" t="s">
        <v>1193</v>
      </c>
      <c r="G138" s="170" t="s">
        <v>41</v>
      </c>
      <c r="H138" s="175">
        <v>5.1249999999999997E-2</v>
      </c>
      <c r="I138" s="396">
        <v>3.1401900000000002E-3</v>
      </c>
    </row>
    <row r="139" spans="1:9">
      <c r="A139" s="170" t="s">
        <v>1290</v>
      </c>
      <c r="B139" s="170" t="s">
        <v>503</v>
      </c>
      <c r="C139" s="170" t="s">
        <v>844</v>
      </c>
      <c r="D139" s="170" t="s">
        <v>843</v>
      </c>
      <c r="E139" s="170" t="s">
        <v>299</v>
      </c>
      <c r="F139" s="170" t="s">
        <v>1093</v>
      </c>
      <c r="G139" s="170" t="s">
        <v>114</v>
      </c>
      <c r="H139" s="175">
        <v>7.3749999999999996E-2</v>
      </c>
      <c r="I139" s="396">
        <v>3.1217200000000001E-3</v>
      </c>
    </row>
    <row r="140" spans="1:9">
      <c r="A140" s="170" t="s">
        <v>1289</v>
      </c>
      <c r="B140" s="170" t="s">
        <v>503</v>
      </c>
      <c r="C140" s="170" t="s">
        <v>922</v>
      </c>
      <c r="D140" s="170" t="s">
        <v>921</v>
      </c>
      <c r="E140" s="170" t="s">
        <v>296</v>
      </c>
      <c r="F140" s="170" t="s">
        <v>1257</v>
      </c>
      <c r="G140" s="170" t="s">
        <v>115</v>
      </c>
      <c r="H140" s="175">
        <v>3.7499999999999999E-2</v>
      </c>
      <c r="I140" s="396">
        <v>3.1131000000000002E-3</v>
      </c>
    </row>
    <row r="141" spans="1:9">
      <c r="A141" s="170" t="s">
        <v>1288</v>
      </c>
      <c r="B141" s="170" t="s">
        <v>503</v>
      </c>
      <c r="C141" s="170" t="s">
        <v>553</v>
      </c>
      <c r="D141" s="170" t="s">
        <v>552</v>
      </c>
      <c r="E141" s="170" t="s">
        <v>289</v>
      </c>
      <c r="F141" s="170" t="s">
        <v>1069</v>
      </c>
      <c r="G141" s="170" t="s">
        <v>110</v>
      </c>
      <c r="H141" s="175">
        <v>5.6250000000000001E-2</v>
      </c>
      <c r="I141" s="396">
        <v>3.1109900000000001E-3</v>
      </c>
    </row>
    <row r="142" spans="1:9">
      <c r="A142" s="170" t="s">
        <v>1287</v>
      </c>
      <c r="B142" s="170" t="s">
        <v>503</v>
      </c>
      <c r="C142" s="170" t="s">
        <v>847</v>
      </c>
      <c r="D142" s="170" t="s">
        <v>846</v>
      </c>
      <c r="E142" s="170" t="s">
        <v>289</v>
      </c>
      <c r="F142" s="170" t="s">
        <v>1150</v>
      </c>
      <c r="G142" s="170" t="s">
        <v>111</v>
      </c>
      <c r="H142" s="175">
        <v>0.1</v>
      </c>
      <c r="I142" s="396">
        <v>3.1064E-3</v>
      </c>
    </row>
    <row r="143" spans="1:9">
      <c r="A143" s="170" t="s">
        <v>1286</v>
      </c>
      <c r="B143" s="170" t="s">
        <v>503</v>
      </c>
      <c r="C143" s="170" t="s">
        <v>627</v>
      </c>
      <c r="D143" s="170" t="s">
        <v>626</v>
      </c>
      <c r="E143" s="170" t="s">
        <v>291</v>
      </c>
      <c r="F143" s="170" t="s">
        <v>1089</v>
      </c>
      <c r="G143" s="170" t="s">
        <v>115</v>
      </c>
      <c r="H143" s="175">
        <v>0.05</v>
      </c>
      <c r="I143" s="396">
        <v>3.0912800000000001E-3</v>
      </c>
    </row>
    <row r="144" spans="1:9">
      <c r="A144" s="170" t="s">
        <v>1285</v>
      </c>
      <c r="B144" s="170" t="s">
        <v>503</v>
      </c>
      <c r="C144" s="170" t="s">
        <v>822</v>
      </c>
      <c r="D144" s="170" t="s">
        <v>821</v>
      </c>
      <c r="E144" s="170" t="s">
        <v>291</v>
      </c>
      <c r="F144" s="170" t="s">
        <v>1144</v>
      </c>
      <c r="G144" s="170" t="s">
        <v>115</v>
      </c>
      <c r="H144" s="175">
        <v>5.7500000000000002E-2</v>
      </c>
      <c r="I144" s="396">
        <v>3.0675400000000001E-3</v>
      </c>
    </row>
    <row r="145" spans="1:9">
      <c r="A145" s="170" t="s">
        <v>1284</v>
      </c>
      <c r="B145" s="170" t="s">
        <v>503</v>
      </c>
      <c r="C145" s="170" t="s">
        <v>858</v>
      </c>
      <c r="D145" s="170" t="s">
        <v>857</v>
      </c>
      <c r="E145" s="170" t="s">
        <v>287</v>
      </c>
      <c r="F145" s="170" t="s">
        <v>1153</v>
      </c>
      <c r="G145" s="170" t="s">
        <v>113</v>
      </c>
      <c r="H145" s="175">
        <v>7.2499999999999995E-2</v>
      </c>
      <c r="I145" s="396">
        <v>3.0620399999999998E-3</v>
      </c>
    </row>
    <row r="146" spans="1:9">
      <c r="A146" s="170" t="s">
        <v>1283</v>
      </c>
      <c r="B146" s="170" t="s">
        <v>503</v>
      </c>
      <c r="C146" s="170" t="s">
        <v>1007</v>
      </c>
      <c r="D146" s="170" t="s">
        <v>1006</v>
      </c>
      <c r="E146" s="170" t="s">
        <v>287</v>
      </c>
      <c r="F146" s="170" t="s">
        <v>1257</v>
      </c>
      <c r="G146" s="170" t="s">
        <v>63</v>
      </c>
      <c r="H146" s="175">
        <v>1.4999999999999999E-2</v>
      </c>
      <c r="I146" s="396">
        <v>3.0550600000000001E-3</v>
      </c>
    </row>
    <row r="147" spans="1:9">
      <c r="A147" s="170" t="s">
        <v>1282</v>
      </c>
      <c r="B147" s="170" t="s">
        <v>503</v>
      </c>
      <c r="C147" s="170" t="s">
        <v>930</v>
      </c>
      <c r="D147" s="170" t="s">
        <v>929</v>
      </c>
      <c r="E147" s="170" t="s">
        <v>294</v>
      </c>
      <c r="F147" s="170" t="s">
        <v>1156</v>
      </c>
      <c r="G147" s="170" t="s">
        <v>110</v>
      </c>
      <c r="H147" s="175">
        <v>2.8750000000000001E-2</v>
      </c>
      <c r="I147" s="396">
        <v>3.0439099999999999E-3</v>
      </c>
    </row>
    <row r="148" spans="1:9">
      <c r="A148" s="170" t="s">
        <v>1281</v>
      </c>
      <c r="B148" s="170" t="s">
        <v>503</v>
      </c>
      <c r="C148" s="170" t="s">
        <v>798</v>
      </c>
      <c r="D148" s="170" t="s">
        <v>797</v>
      </c>
      <c r="E148" s="170" t="s">
        <v>287</v>
      </c>
      <c r="F148" s="170" t="s">
        <v>1137</v>
      </c>
      <c r="G148" s="170" t="s">
        <v>111</v>
      </c>
      <c r="H148" s="175">
        <v>6.7500000000000004E-2</v>
      </c>
      <c r="I148" s="396">
        <v>2.9717699999999999E-3</v>
      </c>
    </row>
    <row r="149" spans="1:9">
      <c r="A149" s="170" t="s">
        <v>1280</v>
      </c>
      <c r="B149" s="170" t="s">
        <v>503</v>
      </c>
      <c r="C149" s="170" t="s">
        <v>919</v>
      </c>
      <c r="D149" s="170" t="s">
        <v>918</v>
      </c>
      <c r="E149" s="170" t="s">
        <v>291</v>
      </c>
      <c r="F149" s="170" t="s">
        <v>1138</v>
      </c>
      <c r="G149" s="170" t="s">
        <v>113</v>
      </c>
      <c r="H149" s="175">
        <v>2.2499999999999999E-2</v>
      </c>
      <c r="I149" s="396">
        <v>2.8213999999999999E-3</v>
      </c>
    </row>
    <row r="150" spans="1:9">
      <c r="A150" s="170" t="s">
        <v>1279</v>
      </c>
      <c r="B150" s="170" t="s">
        <v>503</v>
      </c>
      <c r="C150" s="170" t="s">
        <v>569</v>
      </c>
      <c r="D150" s="170" t="s">
        <v>568</v>
      </c>
      <c r="E150" s="170" t="s">
        <v>293</v>
      </c>
      <c r="F150" s="170" t="s">
        <v>1074</v>
      </c>
      <c r="G150" s="170" t="s">
        <v>41</v>
      </c>
      <c r="H150" s="175">
        <v>4.8750000000000002E-2</v>
      </c>
      <c r="I150" s="396">
        <v>2.8069499999999999E-3</v>
      </c>
    </row>
    <row r="151" spans="1:9">
      <c r="A151" s="170" t="s">
        <v>1278</v>
      </c>
      <c r="B151" s="170" t="s">
        <v>503</v>
      </c>
      <c r="C151" s="170" t="s">
        <v>648</v>
      </c>
      <c r="D151" s="170" t="s">
        <v>647</v>
      </c>
      <c r="E151" s="170" t="s">
        <v>306</v>
      </c>
      <c r="F151" s="170" t="s">
        <v>1095</v>
      </c>
      <c r="G151" s="170" t="s">
        <v>115</v>
      </c>
      <c r="H151" s="175">
        <v>5.2499999999999998E-2</v>
      </c>
      <c r="I151" s="396">
        <v>2.8065299999999998E-3</v>
      </c>
    </row>
    <row r="152" spans="1:9">
      <c r="A152" s="170" t="s">
        <v>1277</v>
      </c>
      <c r="B152" s="170" t="s">
        <v>503</v>
      </c>
      <c r="C152" s="170" t="s">
        <v>763</v>
      </c>
      <c r="D152" s="170" t="s">
        <v>762</v>
      </c>
      <c r="E152" s="170" t="s">
        <v>289</v>
      </c>
      <c r="F152" s="170" t="s">
        <v>1128</v>
      </c>
      <c r="G152" s="170" t="s">
        <v>115</v>
      </c>
      <c r="H152" s="175">
        <v>7.8750000000000001E-2</v>
      </c>
      <c r="I152" s="396">
        <v>2.7188500000000001E-3</v>
      </c>
    </row>
    <row r="153" spans="1:9">
      <c r="A153" s="170" t="s">
        <v>1276</v>
      </c>
      <c r="B153" s="170" t="s">
        <v>503</v>
      </c>
      <c r="C153" s="170" t="s">
        <v>656</v>
      </c>
      <c r="D153" s="170" t="s">
        <v>655</v>
      </c>
      <c r="E153" s="170" t="s">
        <v>287</v>
      </c>
      <c r="F153" s="170" t="s">
        <v>1087</v>
      </c>
      <c r="G153" s="170" t="s">
        <v>110</v>
      </c>
      <c r="H153" s="175">
        <v>0.05</v>
      </c>
      <c r="I153" s="396">
        <v>2.70828E-3</v>
      </c>
    </row>
    <row r="154" spans="1:9">
      <c r="A154" s="170" t="s">
        <v>1275</v>
      </c>
      <c r="B154" s="170" t="s">
        <v>503</v>
      </c>
      <c r="C154" s="170" t="s">
        <v>590</v>
      </c>
      <c r="D154" s="170" t="s">
        <v>589</v>
      </c>
      <c r="E154" s="170" t="s">
        <v>289</v>
      </c>
      <c r="F154" s="170" t="s">
        <v>1257</v>
      </c>
      <c r="G154" s="170" t="s">
        <v>41</v>
      </c>
      <c r="H154" s="175">
        <v>5.2499999999999998E-2</v>
      </c>
      <c r="I154" s="396">
        <v>2.6929300000000001E-3</v>
      </c>
    </row>
    <row r="155" spans="1:9">
      <c r="A155" s="170" t="s">
        <v>1274</v>
      </c>
      <c r="B155" s="170" t="s">
        <v>503</v>
      </c>
      <c r="C155" s="170" t="s">
        <v>824</v>
      </c>
      <c r="D155" s="170" t="s">
        <v>823</v>
      </c>
      <c r="E155" s="170" t="s">
        <v>291</v>
      </c>
      <c r="F155" s="170" t="s">
        <v>1139</v>
      </c>
      <c r="G155" s="170" t="s">
        <v>114</v>
      </c>
      <c r="H155" s="175">
        <v>7.2499999999999995E-2</v>
      </c>
      <c r="I155" s="396">
        <v>2.6117699999999998E-3</v>
      </c>
    </row>
    <row r="156" spans="1:9">
      <c r="A156" s="170" t="s">
        <v>1273</v>
      </c>
      <c r="B156" s="170" t="s">
        <v>503</v>
      </c>
      <c r="C156" s="170" t="s">
        <v>717</v>
      </c>
      <c r="D156" s="170" t="s">
        <v>716</v>
      </c>
      <c r="E156" s="170" t="s">
        <v>287</v>
      </c>
      <c r="F156" s="170" t="s">
        <v>1113</v>
      </c>
      <c r="G156" s="170" t="s">
        <v>114</v>
      </c>
      <c r="H156" s="175">
        <v>4.4999999999999998E-2</v>
      </c>
      <c r="I156" s="396">
        <v>2.5710500000000001E-3</v>
      </c>
    </row>
    <row r="157" spans="1:9">
      <c r="A157" s="170" t="s">
        <v>1272</v>
      </c>
      <c r="B157" s="170" t="s">
        <v>503</v>
      </c>
      <c r="C157" s="170" t="s">
        <v>542</v>
      </c>
      <c r="D157" s="170" t="s">
        <v>541</v>
      </c>
      <c r="E157" s="170" t="s">
        <v>291</v>
      </c>
      <c r="F157" s="170" t="s">
        <v>1067</v>
      </c>
      <c r="G157" s="170" t="s">
        <v>114</v>
      </c>
      <c r="H157" s="175">
        <v>0.04</v>
      </c>
      <c r="I157" s="396">
        <v>2.55617E-3</v>
      </c>
    </row>
    <row r="158" spans="1:9">
      <c r="A158" s="170" t="s">
        <v>1271</v>
      </c>
      <c r="B158" s="170" t="s">
        <v>503</v>
      </c>
      <c r="C158" s="170" t="s">
        <v>958</v>
      </c>
      <c r="D158" s="170" t="s">
        <v>957</v>
      </c>
      <c r="E158" s="170" t="s">
        <v>291</v>
      </c>
      <c r="F158" s="170" t="s">
        <v>1178</v>
      </c>
      <c r="G158" s="170" t="s">
        <v>115</v>
      </c>
      <c r="H158" s="175">
        <v>0.02</v>
      </c>
      <c r="I158" s="396">
        <v>2.5523299999999998E-3</v>
      </c>
    </row>
    <row r="159" spans="1:9">
      <c r="A159" s="170" t="s">
        <v>1270</v>
      </c>
      <c r="B159" s="170" t="s">
        <v>503</v>
      </c>
      <c r="C159" s="170" t="s">
        <v>684</v>
      </c>
      <c r="D159" s="170" t="s">
        <v>683</v>
      </c>
      <c r="E159" s="170" t="s">
        <v>288</v>
      </c>
      <c r="F159" s="170" t="s">
        <v>1104</v>
      </c>
      <c r="G159" s="170" t="s">
        <v>113</v>
      </c>
      <c r="H159" s="175">
        <v>5.6250000000000001E-2</v>
      </c>
      <c r="I159" s="396">
        <v>2.5155099999999999E-3</v>
      </c>
    </row>
    <row r="160" spans="1:9">
      <c r="A160" s="170" t="s">
        <v>1269</v>
      </c>
      <c r="B160" s="170" t="s">
        <v>503</v>
      </c>
      <c r="C160" s="170" t="s">
        <v>795</v>
      </c>
      <c r="D160" s="170" t="s">
        <v>794</v>
      </c>
      <c r="E160" s="170" t="s">
        <v>291</v>
      </c>
      <c r="F160" s="170" t="s">
        <v>1136</v>
      </c>
      <c r="G160" s="170" t="s">
        <v>114</v>
      </c>
      <c r="H160" s="175">
        <v>7.0000000000000007E-2</v>
      </c>
      <c r="I160" s="396">
        <v>2.48577E-3</v>
      </c>
    </row>
    <row r="161" spans="1:9">
      <c r="A161" s="170" t="s">
        <v>1268</v>
      </c>
      <c r="B161" s="170" t="s">
        <v>503</v>
      </c>
      <c r="C161" s="170" t="s">
        <v>1005</v>
      </c>
      <c r="D161" s="170" t="s">
        <v>1004</v>
      </c>
      <c r="E161" s="170" t="s">
        <v>287</v>
      </c>
      <c r="F161" s="170" t="s">
        <v>1257</v>
      </c>
      <c r="G161" s="170" t="s">
        <v>63</v>
      </c>
      <c r="H161" s="175">
        <v>1.7500000000000002E-2</v>
      </c>
      <c r="I161" s="396">
        <v>2.3842199999999998E-3</v>
      </c>
    </row>
    <row r="162" spans="1:9">
      <c r="A162" s="170" t="s">
        <v>1267</v>
      </c>
      <c r="B162" s="170" t="s">
        <v>503</v>
      </c>
      <c r="C162" s="170" t="s">
        <v>892</v>
      </c>
      <c r="D162" s="170" t="s">
        <v>891</v>
      </c>
      <c r="E162" s="170" t="s">
        <v>290</v>
      </c>
      <c r="F162" s="170" t="s">
        <v>1163</v>
      </c>
      <c r="G162" s="170" t="s">
        <v>112</v>
      </c>
      <c r="H162" s="175">
        <v>4.4999999999999998E-2</v>
      </c>
      <c r="I162" s="396">
        <v>2.1393499999999999E-3</v>
      </c>
    </row>
    <row r="163" spans="1:9">
      <c r="A163" s="170" t="s">
        <v>1266</v>
      </c>
      <c r="B163" s="170" t="s">
        <v>503</v>
      </c>
      <c r="C163" s="170" t="s">
        <v>869</v>
      </c>
      <c r="D163" s="170" t="s">
        <v>802</v>
      </c>
      <c r="E163" s="170" t="s">
        <v>290</v>
      </c>
      <c r="F163" s="170" t="s">
        <v>1257</v>
      </c>
      <c r="G163" s="170" t="s">
        <v>41</v>
      </c>
      <c r="H163" s="175">
        <v>2.8799999999999999E-2</v>
      </c>
      <c r="I163" s="396">
        <v>2.0717399999999999E-3</v>
      </c>
    </row>
    <row r="164" spans="1:9">
      <c r="A164" s="170" t="s">
        <v>1265</v>
      </c>
      <c r="B164" s="170" t="s">
        <v>503</v>
      </c>
      <c r="C164" s="170" t="s">
        <v>749</v>
      </c>
      <c r="D164" s="170" t="s">
        <v>748</v>
      </c>
      <c r="E164" s="170" t="s">
        <v>289</v>
      </c>
      <c r="F164" s="170" t="s">
        <v>1125</v>
      </c>
      <c r="G164" s="170" t="s">
        <v>114</v>
      </c>
      <c r="H164" s="175">
        <v>5.3749999999999999E-2</v>
      </c>
      <c r="I164" s="396">
        <v>2.0042300000000001E-3</v>
      </c>
    </row>
    <row r="165" spans="1:9">
      <c r="A165" s="170" t="s">
        <v>1264</v>
      </c>
      <c r="B165" s="170" t="s">
        <v>503</v>
      </c>
      <c r="C165" s="170" t="s">
        <v>752</v>
      </c>
      <c r="D165" s="170" t="s">
        <v>751</v>
      </c>
      <c r="E165" s="170" t="s">
        <v>295</v>
      </c>
      <c r="F165" s="170" t="s">
        <v>1126</v>
      </c>
      <c r="G165" s="170" t="s">
        <v>41</v>
      </c>
      <c r="H165" s="175">
        <v>4.7500000000000001E-2</v>
      </c>
      <c r="I165" s="396">
        <v>1.9263800000000001E-3</v>
      </c>
    </row>
    <row r="166" spans="1:9">
      <c r="A166" s="170" t="s">
        <v>1263</v>
      </c>
      <c r="B166" s="170" t="s">
        <v>503</v>
      </c>
      <c r="C166" s="170" t="s">
        <v>736</v>
      </c>
      <c r="D166" s="170" t="s">
        <v>735</v>
      </c>
      <c r="E166" s="170" t="s">
        <v>287</v>
      </c>
      <c r="F166" s="170" t="s">
        <v>1120</v>
      </c>
      <c r="G166" s="170" t="s">
        <v>111</v>
      </c>
      <c r="H166" s="175">
        <v>6.3750000000000001E-2</v>
      </c>
      <c r="I166" s="396">
        <v>1.91909E-3</v>
      </c>
    </row>
    <row r="167" spans="1:9">
      <c r="A167" s="170" t="s">
        <v>1262</v>
      </c>
      <c r="B167" s="170" t="s">
        <v>503</v>
      </c>
      <c r="C167" s="170" t="s">
        <v>829</v>
      </c>
      <c r="D167" s="170" t="s">
        <v>828</v>
      </c>
      <c r="E167" s="170" t="s">
        <v>289</v>
      </c>
      <c r="F167" s="170" t="s">
        <v>1128</v>
      </c>
      <c r="G167" s="170" t="s">
        <v>114</v>
      </c>
      <c r="H167" s="175">
        <v>7.8750000000000001E-2</v>
      </c>
      <c r="I167" s="396">
        <v>1.8973499999999999E-3</v>
      </c>
    </row>
    <row r="168" spans="1:9">
      <c r="A168" s="170" t="s">
        <v>1261</v>
      </c>
      <c r="B168" s="170" t="s">
        <v>503</v>
      </c>
      <c r="C168" s="170" t="s">
        <v>565</v>
      </c>
      <c r="D168" s="170" t="s">
        <v>564</v>
      </c>
      <c r="E168" s="170" t="s">
        <v>293</v>
      </c>
      <c r="F168" s="170" t="s">
        <v>1073</v>
      </c>
      <c r="G168" s="170" t="s">
        <v>113</v>
      </c>
      <c r="H168" s="175">
        <v>5.5E-2</v>
      </c>
      <c r="I168" s="396">
        <v>1.7975000000000001E-3</v>
      </c>
    </row>
    <row r="169" spans="1:9">
      <c r="A169" s="170" t="s">
        <v>1260</v>
      </c>
      <c r="B169" s="170" t="s">
        <v>503</v>
      </c>
      <c r="C169" s="170" t="s">
        <v>654</v>
      </c>
      <c r="D169" s="170" t="s">
        <v>653</v>
      </c>
      <c r="E169" s="170" t="s">
        <v>289</v>
      </c>
      <c r="F169" s="170" t="s">
        <v>1096</v>
      </c>
      <c r="G169" s="170" t="s">
        <v>110</v>
      </c>
      <c r="H169" s="175">
        <v>8.6249999999999993E-2</v>
      </c>
      <c r="I169" s="396">
        <v>1.7734999999999999E-3</v>
      </c>
    </row>
    <row r="170" spans="1:9">
      <c r="A170" s="170" t="s">
        <v>1259</v>
      </c>
      <c r="B170" s="170" t="s">
        <v>503</v>
      </c>
      <c r="C170" s="170" t="s">
        <v>559</v>
      </c>
      <c r="D170" s="170" t="s">
        <v>558</v>
      </c>
      <c r="E170" s="170" t="s">
        <v>297</v>
      </c>
      <c r="F170" s="170" t="s">
        <v>1071</v>
      </c>
      <c r="G170" s="170" t="s">
        <v>112</v>
      </c>
      <c r="H170" s="175">
        <v>6.7500000000000004E-2</v>
      </c>
      <c r="I170" s="396">
        <v>1.7608400000000001E-3</v>
      </c>
    </row>
    <row r="171" spans="1:9">
      <c r="A171" s="170" t="s">
        <v>1258</v>
      </c>
      <c r="B171" s="170" t="s">
        <v>503</v>
      </c>
      <c r="C171" s="170" t="s">
        <v>1008</v>
      </c>
      <c r="D171" s="170" t="s">
        <v>984</v>
      </c>
      <c r="E171" s="170" t="s">
        <v>287</v>
      </c>
      <c r="F171" s="170" t="s">
        <v>1257</v>
      </c>
      <c r="G171" s="170" t="s">
        <v>63</v>
      </c>
      <c r="H171" s="175">
        <v>2.8750000000000001E-2</v>
      </c>
      <c r="I171" s="396">
        <v>1.72814E-3</v>
      </c>
    </row>
    <row r="172" spans="1:9">
      <c r="A172" s="170" t="s">
        <v>1256</v>
      </c>
      <c r="B172" s="170" t="s">
        <v>503</v>
      </c>
      <c r="C172" s="170" t="s">
        <v>868</v>
      </c>
      <c r="D172" s="170" t="s">
        <v>867</v>
      </c>
      <c r="E172" s="170" t="s">
        <v>294</v>
      </c>
      <c r="F172" s="170" t="s">
        <v>1156</v>
      </c>
      <c r="G172" s="170" t="s">
        <v>111</v>
      </c>
      <c r="H172" s="175">
        <v>3.7499999999999999E-2</v>
      </c>
      <c r="I172" s="396">
        <v>1.7120900000000001E-3</v>
      </c>
    </row>
    <row r="173" spans="1:9">
      <c r="A173" s="170" t="s">
        <v>1255</v>
      </c>
      <c r="B173" s="170" t="s">
        <v>503</v>
      </c>
      <c r="C173" s="170" t="s">
        <v>522</v>
      </c>
      <c r="D173" s="170" t="s">
        <v>521</v>
      </c>
      <c r="E173" s="170" t="s">
        <v>287</v>
      </c>
      <c r="F173" s="170" t="s">
        <v>1139</v>
      </c>
      <c r="G173" s="170" t="s">
        <v>110</v>
      </c>
      <c r="H173" s="175">
        <v>5.475E-2</v>
      </c>
      <c r="I173" s="396">
        <v>1.6378E-3</v>
      </c>
    </row>
    <row r="174" spans="1:9">
      <c r="A174" s="170" t="s">
        <v>1254</v>
      </c>
      <c r="B174" s="170" t="s">
        <v>503</v>
      </c>
      <c r="C174" s="170" t="s">
        <v>604</v>
      </c>
      <c r="D174" s="170" t="s">
        <v>603</v>
      </c>
      <c r="E174" s="170" t="s">
        <v>293</v>
      </c>
      <c r="F174" s="170" t="s">
        <v>1080</v>
      </c>
      <c r="G174" s="170" t="s">
        <v>109</v>
      </c>
      <c r="H174" s="175">
        <v>8.6249999999999993E-2</v>
      </c>
      <c r="I174" s="396">
        <v>1.6293E-3</v>
      </c>
    </row>
    <row r="175" spans="1:9">
      <c r="A175" s="170" t="s">
        <v>1253</v>
      </c>
      <c r="B175" s="170" t="s">
        <v>503</v>
      </c>
      <c r="C175" s="170" t="s">
        <v>992</v>
      </c>
      <c r="D175" s="170" t="s">
        <v>991</v>
      </c>
      <c r="E175" s="170" t="s">
        <v>287</v>
      </c>
      <c r="F175" s="170" t="s">
        <v>1100</v>
      </c>
      <c r="G175" s="170" t="s">
        <v>114</v>
      </c>
      <c r="H175" s="175">
        <v>4.2500000000000003E-2</v>
      </c>
      <c r="I175" s="396">
        <v>1.6057300000000001E-3</v>
      </c>
    </row>
    <row r="176" spans="1:9">
      <c r="A176" s="170" t="s">
        <v>1252</v>
      </c>
      <c r="B176" s="170" t="s">
        <v>503</v>
      </c>
      <c r="C176" s="170" t="s">
        <v>944</v>
      </c>
      <c r="D176" s="170" t="s">
        <v>943</v>
      </c>
      <c r="E176" s="170" t="s">
        <v>287</v>
      </c>
      <c r="F176" s="170" t="s">
        <v>1165</v>
      </c>
      <c r="G176" s="170" t="s">
        <v>114</v>
      </c>
      <c r="H176" s="175">
        <v>3.7499999999999999E-2</v>
      </c>
      <c r="I176" s="396">
        <v>1.4914699999999999E-3</v>
      </c>
    </row>
    <row r="177" spans="1:9">
      <c r="A177" s="170" t="s">
        <v>1251</v>
      </c>
      <c r="B177" s="170" t="s">
        <v>503</v>
      </c>
      <c r="C177" s="170" t="s">
        <v>668</v>
      </c>
      <c r="D177" s="170" t="s">
        <v>667</v>
      </c>
      <c r="E177" s="170" t="s">
        <v>295</v>
      </c>
      <c r="F177" s="170" t="s">
        <v>1100</v>
      </c>
      <c r="G177" s="170" t="s">
        <v>113</v>
      </c>
      <c r="H177" s="175">
        <v>5.7500000000000002E-2</v>
      </c>
      <c r="I177" s="396">
        <v>1.4746200000000001E-3</v>
      </c>
    </row>
    <row r="178" spans="1:9">
      <c r="A178" s="170" t="s">
        <v>1250</v>
      </c>
      <c r="B178" s="170" t="s">
        <v>503</v>
      </c>
      <c r="C178" s="170" t="s">
        <v>534</v>
      </c>
      <c r="D178" s="170" t="s">
        <v>533</v>
      </c>
      <c r="E178" s="170" t="s">
        <v>291</v>
      </c>
      <c r="F178" s="170" t="s">
        <v>1063</v>
      </c>
      <c r="G178" s="170" t="s">
        <v>112</v>
      </c>
      <c r="H178" s="175">
        <v>5.3749999999999999E-2</v>
      </c>
      <c r="I178" s="396">
        <v>1.3601900000000001E-3</v>
      </c>
    </row>
    <row r="179" spans="1:9">
      <c r="A179" s="170" t="s">
        <v>1249</v>
      </c>
      <c r="B179" s="170" t="s">
        <v>503</v>
      </c>
      <c r="C179" s="170" t="s">
        <v>766</v>
      </c>
      <c r="D179" s="170" t="s">
        <v>765</v>
      </c>
      <c r="E179" s="170" t="s">
        <v>289</v>
      </c>
      <c r="F179" s="170" t="s">
        <v>1129</v>
      </c>
      <c r="G179" s="170" t="s">
        <v>115</v>
      </c>
      <c r="H179" s="175">
        <v>6.8750000000000006E-2</v>
      </c>
      <c r="I179" s="396">
        <v>1.35527E-3</v>
      </c>
    </row>
    <row r="180" spans="1:9">
      <c r="A180" s="170" t="s">
        <v>1248</v>
      </c>
      <c r="B180" s="170" t="s">
        <v>503</v>
      </c>
      <c r="C180" s="170" t="s">
        <v>925</v>
      </c>
      <c r="D180" s="170" t="s">
        <v>924</v>
      </c>
      <c r="E180" s="170" t="s">
        <v>295</v>
      </c>
      <c r="F180" s="170" t="s">
        <v>1170</v>
      </c>
      <c r="G180" s="170" t="s">
        <v>112</v>
      </c>
      <c r="H180" s="175">
        <v>3.2500000000000001E-2</v>
      </c>
      <c r="I180" s="396">
        <v>1.3324400000000001E-3</v>
      </c>
    </row>
    <row r="181" spans="1:9">
      <c r="A181" s="170" t="s">
        <v>1247</v>
      </c>
      <c r="B181" s="170" t="s">
        <v>503</v>
      </c>
      <c r="C181" s="170" t="s">
        <v>842</v>
      </c>
      <c r="D181" s="170" t="s">
        <v>841</v>
      </c>
      <c r="E181" s="170" t="s">
        <v>288</v>
      </c>
      <c r="F181" s="170" t="s">
        <v>1080</v>
      </c>
      <c r="G181" s="170" t="s">
        <v>113</v>
      </c>
      <c r="H181" s="175">
        <v>6.7500000000000004E-2</v>
      </c>
      <c r="I181" s="396">
        <v>5.5186999999999999E-4</v>
      </c>
    </row>
    <row r="182" spans="1:9">
      <c r="A182" s="170" t="s">
        <v>1246</v>
      </c>
      <c r="B182" s="170" t="s">
        <v>503</v>
      </c>
      <c r="C182" s="170" t="s">
        <v>855</v>
      </c>
      <c r="D182" s="170" t="s">
        <v>854</v>
      </c>
      <c r="E182" s="170" t="s">
        <v>290</v>
      </c>
      <c r="F182" s="170" t="s">
        <v>1152</v>
      </c>
      <c r="G182" s="170" t="s">
        <v>112</v>
      </c>
      <c r="H182" s="175">
        <v>0.10375</v>
      </c>
      <c r="I182" s="396">
        <v>4.1958000000000002E-4</v>
      </c>
    </row>
    <row r="183" spans="1:9">
      <c r="A183" s="170" t="s">
        <v>1245</v>
      </c>
      <c r="B183" s="170" t="s">
        <v>503</v>
      </c>
      <c r="C183" s="170" t="s">
        <v>971</v>
      </c>
      <c r="D183" s="170" t="s">
        <v>970</v>
      </c>
      <c r="E183" s="170" t="s">
        <v>291</v>
      </c>
      <c r="F183" s="170" t="s">
        <v>1244</v>
      </c>
      <c r="G183" s="170" t="s">
        <v>42</v>
      </c>
      <c r="H183" s="175">
        <v>0.13500000000000001</v>
      </c>
      <c r="I183" s="396">
        <v>2E-8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outlinePr showOutlineSymbols="0"/>
  </sheetPr>
  <dimension ref="B1:AF662"/>
  <sheetViews>
    <sheetView showGridLines="0" showOutlineSymbols="0" zoomScale="55" zoomScaleNormal="55" workbookViewId="0"/>
  </sheetViews>
  <sheetFormatPr baseColWidth="10" defaultRowHeight="15" outlineLevelRow="1"/>
  <cols>
    <col min="2" max="2" width="14.7109375" customWidth="1"/>
    <col min="3" max="3" width="45.7109375" customWidth="1"/>
    <col min="4" max="4" width="1.7109375" customWidth="1"/>
    <col min="5" max="6" width="15.7109375" customWidth="1"/>
    <col min="7" max="7" width="1.7109375" customWidth="1"/>
    <col min="8" max="9" width="15.7109375" customWidth="1"/>
    <col min="10" max="10" width="1.7109375" customWidth="1"/>
    <col min="11" max="12" width="15.7109375" customWidth="1"/>
    <col min="13" max="13" width="1.7109375" customWidth="1"/>
    <col min="14" max="15" width="15.7109375" customWidth="1"/>
    <col min="16" max="16" width="12.42578125" customWidth="1"/>
    <col min="18" max="18" width="14.7109375" customWidth="1"/>
    <col min="19" max="19" width="45.7109375" customWidth="1"/>
    <col min="20" max="20" width="1.7109375" customWidth="1"/>
    <col min="21" max="22" width="15.7109375" customWidth="1"/>
    <col min="23" max="23" width="1.7109375" customWidth="1"/>
    <col min="24" max="25" width="15.7109375" customWidth="1"/>
    <col min="26" max="26" width="1.7109375" customWidth="1"/>
    <col min="27" max="28" width="15.7109375" customWidth="1"/>
    <col min="29" max="29" width="1.7109375" customWidth="1"/>
    <col min="30" max="31" width="15.7109375" customWidth="1"/>
  </cols>
  <sheetData>
    <row r="1" spans="2:32">
      <c r="B1" s="65"/>
      <c r="C1" s="65"/>
      <c r="D1" s="65"/>
      <c r="E1" s="65"/>
      <c r="F1" s="65"/>
      <c r="G1" s="65"/>
      <c r="H1" s="66"/>
      <c r="I1" s="66"/>
      <c r="J1" s="65"/>
      <c r="K1" s="65"/>
      <c r="L1" s="65"/>
      <c r="M1" s="65"/>
      <c r="N1" s="67"/>
      <c r="O1" s="68"/>
      <c r="P1" s="71"/>
      <c r="Q1" s="74"/>
      <c r="R1" s="65"/>
      <c r="S1" s="65"/>
      <c r="T1" s="65"/>
      <c r="U1" s="65"/>
      <c r="V1" s="65"/>
      <c r="W1" s="65"/>
      <c r="X1" s="66"/>
      <c r="Y1" s="66"/>
      <c r="Z1" s="65"/>
      <c r="AA1" s="65"/>
      <c r="AB1" s="65"/>
      <c r="AC1" s="65"/>
      <c r="AD1" s="67"/>
      <c r="AE1" s="68"/>
      <c r="AF1" s="71"/>
    </row>
    <row r="2" spans="2:32" ht="15.75" thickBot="1">
      <c r="B2" s="65"/>
      <c r="C2" s="65"/>
      <c r="D2" s="65"/>
      <c r="E2" s="65"/>
      <c r="F2" s="65"/>
      <c r="G2" s="65"/>
      <c r="H2" s="66"/>
      <c r="I2" s="66"/>
      <c r="J2" s="65"/>
      <c r="K2" s="65"/>
      <c r="L2" s="65"/>
      <c r="M2" s="65"/>
      <c r="N2" s="67"/>
      <c r="O2" s="68"/>
      <c r="P2" s="71"/>
      <c r="Q2" s="74"/>
      <c r="R2" s="65"/>
      <c r="S2" s="65"/>
      <c r="T2" s="65"/>
      <c r="U2" s="65"/>
      <c r="V2" s="65"/>
      <c r="W2" s="65"/>
      <c r="X2" s="66"/>
      <c r="Y2" s="66"/>
      <c r="Z2" s="65"/>
      <c r="AA2" s="65"/>
      <c r="AB2" s="65"/>
      <c r="AC2" s="65"/>
      <c r="AD2" s="67"/>
      <c r="AE2" s="68"/>
      <c r="AF2" s="71"/>
    </row>
    <row r="3" spans="2:32" outlineLevel="1">
      <c r="B3" s="374" t="s">
        <v>12</v>
      </c>
      <c r="C3" s="375"/>
      <c r="D3" s="375"/>
      <c r="E3" s="375"/>
      <c r="F3" s="375"/>
      <c r="G3" s="375"/>
      <c r="H3" s="375"/>
      <c r="I3" s="375"/>
      <c r="J3" s="375"/>
      <c r="K3" s="375"/>
      <c r="L3" s="375"/>
      <c r="M3" s="375"/>
      <c r="N3" s="375"/>
      <c r="O3" s="376"/>
      <c r="P3" s="54"/>
      <c r="Q3" s="54"/>
      <c r="R3" s="374" t="s">
        <v>13</v>
      </c>
      <c r="S3" s="375"/>
      <c r="T3" s="375"/>
      <c r="U3" s="375"/>
      <c r="V3" s="375"/>
      <c r="W3" s="375"/>
      <c r="X3" s="375"/>
      <c r="Y3" s="375"/>
      <c r="Z3" s="375"/>
      <c r="AA3" s="375"/>
      <c r="AB3" s="375"/>
      <c r="AC3" s="375"/>
      <c r="AD3" s="375"/>
      <c r="AE3" s="376"/>
      <c r="AF3" s="54"/>
    </row>
    <row r="4" spans="2:32" ht="15.75" outlineLevel="1" thickBot="1">
      <c r="B4" s="377"/>
      <c r="C4" s="378"/>
      <c r="D4" s="378"/>
      <c r="E4" s="378"/>
      <c r="F4" s="378"/>
      <c r="G4" s="378"/>
      <c r="H4" s="378"/>
      <c r="I4" s="378"/>
      <c r="J4" s="378"/>
      <c r="K4" s="378"/>
      <c r="L4" s="378"/>
      <c r="M4" s="378"/>
      <c r="N4" s="378"/>
      <c r="O4" s="379"/>
      <c r="P4" s="71"/>
      <c r="Q4" s="75"/>
      <c r="R4" s="377"/>
      <c r="S4" s="378"/>
      <c r="T4" s="378"/>
      <c r="U4" s="378"/>
      <c r="V4" s="378"/>
      <c r="W4" s="378"/>
      <c r="X4" s="378"/>
      <c r="Y4" s="378"/>
      <c r="Z4" s="378"/>
      <c r="AA4" s="378"/>
      <c r="AB4" s="378"/>
      <c r="AC4" s="378"/>
      <c r="AD4" s="378"/>
      <c r="AE4" s="379"/>
      <c r="AF4" s="71"/>
    </row>
    <row r="5" spans="2:32">
      <c r="B5" s="65"/>
      <c r="C5" s="65"/>
      <c r="D5" s="65"/>
      <c r="E5" s="65"/>
      <c r="F5" s="65"/>
      <c r="G5" s="65"/>
      <c r="H5" s="66"/>
      <c r="I5" s="66"/>
      <c r="J5" s="65"/>
      <c r="K5" s="65"/>
      <c r="L5" s="65"/>
      <c r="M5" s="65"/>
      <c r="N5" s="67"/>
      <c r="O5" s="68"/>
      <c r="P5" s="71"/>
      <c r="Q5" s="74"/>
      <c r="R5" s="65"/>
      <c r="S5" s="65"/>
      <c r="T5" s="65"/>
      <c r="U5" s="65"/>
      <c r="V5" s="65"/>
      <c r="W5" s="65"/>
      <c r="X5" s="66"/>
      <c r="Y5" s="66"/>
      <c r="Z5" s="65"/>
      <c r="AA5" s="65"/>
      <c r="AB5" s="65"/>
      <c r="AC5" s="65"/>
      <c r="AD5" s="67"/>
      <c r="AE5" s="68"/>
      <c r="AF5" s="71"/>
    </row>
    <row r="6" spans="2:32">
      <c r="B6" s="65"/>
      <c r="C6" s="65"/>
      <c r="D6" s="65"/>
      <c r="E6" s="65"/>
      <c r="F6" s="65"/>
      <c r="G6" s="65"/>
      <c r="H6" s="66"/>
      <c r="I6" s="66"/>
      <c r="J6" s="65"/>
      <c r="K6" s="65"/>
      <c r="L6" s="65"/>
      <c r="M6" s="65"/>
      <c r="N6" s="67"/>
      <c r="O6" s="68"/>
      <c r="P6" s="71"/>
      <c r="Q6" s="74"/>
      <c r="R6" s="65"/>
      <c r="S6" s="65"/>
      <c r="T6" s="65"/>
      <c r="U6" s="65"/>
      <c r="V6" s="65"/>
      <c r="W6" s="65"/>
      <c r="X6" s="66"/>
      <c r="Y6" s="66"/>
      <c r="Z6" s="65"/>
      <c r="AA6" s="65"/>
      <c r="AB6" s="65"/>
      <c r="AC6" s="65"/>
      <c r="AD6" s="67"/>
      <c r="AE6" s="68"/>
      <c r="AF6" s="71"/>
    </row>
    <row r="7" spans="2:32">
      <c r="B7" s="65"/>
      <c r="C7" s="65"/>
      <c r="D7" s="65"/>
      <c r="E7" s="65"/>
      <c r="F7" s="65"/>
      <c r="G7" s="65"/>
      <c r="H7" s="66"/>
      <c r="I7" s="66"/>
      <c r="J7" s="65"/>
      <c r="K7" s="65"/>
      <c r="L7" s="65"/>
      <c r="M7" s="65"/>
      <c r="N7" s="67"/>
      <c r="O7" s="68"/>
      <c r="P7" s="71"/>
      <c r="Q7" s="74"/>
      <c r="R7" s="65"/>
      <c r="S7" s="65"/>
      <c r="T7" s="65"/>
      <c r="U7" s="65"/>
      <c r="V7" s="65"/>
      <c r="W7" s="65"/>
      <c r="X7" s="66"/>
      <c r="Y7" s="66"/>
      <c r="Z7" s="65"/>
      <c r="AA7" s="65"/>
      <c r="AB7" s="65"/>
      <c r="AC7" s="65"/>
      <c r="AD7" s="67"/>
      <c r="AE7" s="68"/>
      <c r="AF7" s="71"/>
    </row>
    <row r="8" spans="2:32" ht="15.75" outlineLevel="1" thickBot="1">
      <c r="B8" s="65"/>
      <c r="C8" s="380" t="s">
        <v>14</v>
      </c>
      <c r="D8" s="380"/>
      <c r="E8" s="380"/>
      <c r="F8" s="380"/>
      <c r="G8" s="65"/>
      <c r="H8" s="69" t="s">
        <v>7</v>
      </c>
      <c r="I8" s="69" t="s">
        <v>6</v>
      </c>
      <c r="J8" s="65"/>
      <c r="K8" s="381" t="s">
        <v>15</v>
      </c>
      <c r="L8" s="381"/>
      <c r="M8" s="65"/>
      <c r="N8" s="67"/>
      <c r="O8" s="68"/>
      <c r="P8" s="71"/>
      <c r="Q8" s="74"/>
      <c r="R8" s="65"/>
      <c r="S8" s="380" t="s">
        <v>14</v>
      </c>
      <c r="T8" s="380"/>
      <c r="U8" s="380"/>
      <c r="V8" s="380"/>
      <c r="W8" s="65"/>
      <c r="X8" s="69" t="s">
        <v>7</v>
      </c>
      <c r="Y8" s="69" t="s">
        <v>6</v>
      </c>
      <c r="Z8" s="65"/>
      <c r="AA8" s="381" t="s">
        <v>15</v>
      </c>
      <c r="AB8" s="381"/>
      <c r="AC8" s="65"/>
      <c r="AD8" s="67"/>
      <c r="AE8" s="68"/>
      <c r="AF8" s="71"/>
    </row>
    <row r="9" spans="2:32" outlineLevel="1">
      <c r="B9" s="65">
        <v>1</v>
      </c>
      <c r="C9" s="383" t="str">
        <f>IF(K9="-","-",VLOOKUP(K9,$O$25:$P$869,2,FALSE))</f>
        <v>-</v>
      </c>
      <c r="D9" s="383"/>
      <c r="E9" s="383"/>
      <c r="F9" s="383"/>
      <c r="G9" s="65"/>
      <c r="H9" s="73" t="str">
        <f>VLOOKUP(C9,$C$25:$L$869,9,FALSE)</f>
        <v/>
      </c>
      <c r="I9" s="73" t="str">
        <f>VLOOKUP(C9,$C$25:$L$869,10,FALSE)</f>
        <v/>
      </c>
      <c r="J9" s="65"/>
      <c r="K9" s="382" t="str">
        <f>IFERROR(LARGE($O$25:$O$869,B9),"-")</f>
        <v>-</v>
      </c>
      <c r="L9" s="382"/>
      <c r="M9" s="65"/>
      <c r="N9" s="67"/>
      <c r="O9" s="68"/>
      <c r="P9" s="71"/>
      <c r="Q9" s="74"/>
      <c r="R9" s="65">
        <v>1</v>
      </c>
      <c r="S9" s="383" t="str">
        <f>IF(AA9="-","-",VLOOKUP(AA9,$AE$25:$AF$869,2,FALSE))</f>
        <v>-</v>
      </c>
      <c r="T9" s="383"/>
      <c r="U9" s="383"/>
      <c r="V9" s="383"/>
      <c r="W9" s="65"/>
      <c r="X9" s="73" t="str">
        <f>VLOOKUP(S9,$S$25:$AB$869,10,FALSE)</f>
        <v/>
      </c>
      <c r="Y9" s="73" t="str">
        <f>VLOOKUP(S9,$S$25:$AB$869,9,FALSE)</f>
        <v/>
      </c>
      <c r="Z9" s="65"/>
      <c r="AA9" s="382" t="str">
        <f>IFERROR(LARGE($AE$25:$AE$869,R9),"-")</f>
        <v>-</v>
      </c>
      <c r="AB9" s="382"/>
      <c r="AC9" s="65"/>
      <c r="AD9" s="67"/>
      <c r="AE9" s="68"/>
      <c r="AF9" s="71"/>
    </row>
    <row r="10" spans="2:32" outlineLevel="1">
      <c r="B10" s="65">
        <v>2</v>
      </c>
      <c r="C10" s="385" t="str">
        <f>IF(K10="-","-",VLOOKUP(K10,$O$25:$P$869,2,FALSE))</f>
        <v>-</v>
      </c>
      <c r="D10" s="385"/>
      <c r="E10" s="385"/>
      <c r="F10" s="385"/>
      <c r="G10" s="65"/>
      <c r="H10" s="81" t="str">
        <f>VLOOKUP(C10,$C$25:$L$869,9,FALSE)</f>
        <v/>
      </c>
      <c r="I10" s="81" t="str">
        <f>VLOOKUP(C10,$C$25:$L$869,10,FALSE)</f>
        <v/>
      </c>
      <c r="J10" s="65"/>
      <c r="K10" s="384" t="str">
        <f>IFERROR(LARGE($O$25:$O$869,B10),"-")</f>
        <v>-</v>
      </c>
      <c r="L10" s="384"/>
      <c r="M10" s="65"/>
      <c r="N10" s="67"/>
      <c r="O10" s="68"/>
      <c r="P10" s="71"/>
      <c r="Q10" s="74"/>
      <c r="R10" s="65">
        <v>2</v>
      </c>
      <c r="S10" s="385" t="str">
        <f>IF(AA10="-","-",VLOOKUP(AA10,$AE$25:$AF$869,2,FALSE))</f>
        <v>-</v>
      </c>
      <c r="T10" s="385"/>
      <c r="U10" s="385"/>
      <c r="V10" s="385"/>
      <c r="W10" s="65"/>
      <c r="X10" s="81" t="str">
        <f>VLOOKUP(S10,$S$25:$AB$869,10,FALSE)</f>
        <v/>
      </c>
      <c r="Y10" s="81" t="str">
        <f>VLOOKUP(S10,$S$25:$AB$869,9,FALSE)</f>
        <v/>
      </c>
      <c r="Z10" s="65"/>
      <c r="AA10" s="384" t="str">
        <f>IFERROR(LARGE($AE$25:$AE$869,R10),"-")</f>
        <v>-</v>
      </c>
      <c r="AB10" s="384"/>
      <c r="AC10" s="65"/>
      <c r="AD10" s="67"/>
      <c r="AE10" s="68"/>
      <c r="AF10" s="71"/>
    </row>
    <row r="11" spans="2:32" outlineLevel="1">
      <c r="B11" s="65">
        <v>3</v>
      </c>
      <c r="C11" s="385" t="str">
        <f>IF(K11="-","-",VLOOKUP(K11,$O$25:$P$869,2,FALSE))</f>
        <v>-</v>
      </c>
      <c r="D11" s="385"/>
      <c r="E11" s="385"/>
      <c r="F11" s="385"/>
      <c r="G11" s="65"/>
      <c r="H11" s="81" t="str">
        <f>VLOOKUP(C11,$C$25:$L$869,9,FALSE)</f>
        <v/>
      </c>
      <c r="I11" s="81" t="str">
        <f>VLOOKUP(C11,$C$25:$L$869,10,FALSE)</f>
        <v/>
      </c>
      <c r="J11" s="65"/>
      <c r="K11" s="384" t="str">
        <f>IFERROR(LARGE($O$25:$O$869,B11),"-")</f>
        <v>-</v>
      </c>
      <c r="L11" s="384"/>
      <c r="M11" s="65"/>
      <c r="N11" s="67"/>
      <c r="O11" s="68"/>
      <c r="P11" s="71"/>
      <c r="Q11" s="74"/>
      <c r="R11" s="65">
        <v>3</v>
      </c>
      <c r="S11" s="385" t="str">
        <f>IF(AA11="-","-",VLOOKUP(AA11,$AE$25:$AF$869,2,FALSE))</f>
        <v>-</v>
      </c>
      <c r="T11" s="385"/>
      <c r="U11" s="385"/>
      <c r="V11" s="385"/>
      <c r="W11" s="65"/>
      <c r="X11" s="81" t="str">
        <f>VLOOKUP(S11,$S$25:$AB$869,10,FALSE)</f>
        <v/>
      </c>
      <c r="Y11" s="81" t="str">
        <f>VLOOKUP(S11,$S$25:$AB$869,9,FALSE)</f>
        <v/>
      </c>
      <c r="Z11" s="65"/>
      <c r="AA11" s="384" t="str">
        <f>IFERROR(LARGE($AE$25:$AE$869,R11),"-")</f>
        <v>-</v>
      </c>
      <c r="AB11" s="384"/>
      <c r="AC11" s="65"/>
      <c r="AD11" s="67"/>
      <c r="AE11" s="68"/>
      <c r="AF11" s="71"/>
    </row>
    <row r="12" spans="2:32" outlineLevel="1">
      <c r="B12" s="65">
        <v>4</v>
      </c>
      <c r="C12" s="385" t="str">
        <f>IF(K12="-","-",VLOOKUP(K12,$O$25:$P$869,2,FALSE))</f>
        <v>-</v>
      </c>
      <c r="D12" s="385"/>
      <c r="E12" s="385"/>
      <c r="F12" s="385"/>
      <c r="G12" s="65"/>
      <c r="H12" s="81" t="str">
        <f>VLOOKUP(C12,$C$25:$L$869,9,FALSE)</f>
        <v/>
      </c>
      <c r="I12" s="81" t="str">
        <f>VLOOKUP(C12,$C$25:$L$869,10,FALSE)</f>
        <v/>
      </c>
      <c r="J12" s="65"/>
      <c r="K12" s="384" t="str">
        <f>IFERROR(LARGE($O$25:$O$869,B12),"-")</f>
        <v>-</v>
      </c>
      <c r="L12" s="384"/>
      <c r="M12" s="65"/>
      <c r="N12" s="67"/>
      <c r="O12" s="68"/>
      <c r="P12" s="71"/>
      <c r="Q12" s="74"/>
      <c r="R12" s="65">
        <v>4</v>
      </c>
      <c r="S12" s="385" t="str">
        <f>IF(AA12="-","-",VLOOKUP(AA12,$AE$25:$AF$869,2,FALSE))</f>
        <v>-</v>
      </c>
      <c r="T12" s="385"/>
      <c r="U12" s="385"/>
      <c r="V12" s="385"/>
      <c r="W12" s="65"/>
      <c r="X12" s="81" t="str">
        <f>VLOOKUP(S12,$S$25:$AB$869,10,FALSE)</f>
        <v/>
      </c>
      <c r="Y12" s="81" t="str">
        <f>VLOOKUP(S12,$S$25:$AB$869,9,FALSE)</f>
        <v/>
      </c>
      <c r="Z12" s="65"/>
      <c r="AA12" s="384" t="str">
        <f>IFERROR(LARGE($AE$25:$AE$869,R12),"-")</f>
        <v>-</v>
      </c>
      <c r="AB12" s="384"/>
      <c r="AC12" s="65"/>
      <c r="AD12" s="67"/>
      <c r="AE12" s="68"/>
      <c r="AF12" s="71"/>
    </row>
    <row r="13" spans="2:32" outlineLevel="1">
      <c r="B13" s="65">
        <v>5</v>
      </c>
      <c r="C13" s="385" t="str">
        <f>IF(K13="-","-",VLOOKUP(K13,$O$25:$P$869,2,FALSE))</f>
        <v>-</v>
      </c>
      <c r="D13" s="385"/>
      <c r="E13" s="385"/>
      <c r="F13" s="385"/>
      <c r="G13" s="65"/>
      <c r="H13" s="81" t="str">
        <f>VLOOKUP(C13,$C$25:$L$869,9,FALSE)</f>
        <v/>
      </c>
      <c r="I13" s="81" t="str">
        <f>VLOOKUP(C13,$C$25:$L$869,10,FALSE)</f>
        <v/>
      </c>
      <c r="J13" s="65"/>
      <c r="K13" s="384" t="str">
        <f>IFERROR(LARGE($O$25:$O$869,B13),"-")</f>
        <v>-</v>
      </c>
      <c r="L13" s="384"/>
      <c r="M13" s="65"/>
      <c r="N13" s="67"/>
      <c r="O13" s="68"/>
      <c r="P13" s="71"/>
      <c r="Q13" s="74"/>
      <c r="R13" s="65">
        <v>5</v>
      </c>
      <c r="S13" s="385" t="str">
        <f>IF(AA13="-","-",VLOOKUP(AA13,$AE$25:$AF$869,2,FALSE))</f>
        <v>-</v>
      </c>
      <c r="T13" s="385"/>
      <c r="U13" s="385"/>
      <c r="V13" s="385"/>
      <c r="W13" s="65"/>
      <c r="X13" s="81" t="str">
        <f>VLOOKUP(S13,$S$25:$AB$869,10,FALSE)</f>
        <v/>
      </c>
      <c r="Y13" s="81" t="str">
        <f>VLOOKUP(S13,$S$25:$AB$869,9,FALSE)</f>
        <v/>
      </c>
      <c r="Z13" s="65"/>
      <c r="AA13" s="384" t="str">
        <f>IFERROR(LARGE($AE$25:$AE$869,R13),"-")</f>
        <v>-</v>
      </c>
      <c r="AB13" s="384"/>
      <c r="AC13" s="65"/>
      <c r="AD13" s="67"/>
      <c r="AE13" s="68"/>
      <c r="AF13" s="71"/>
    </row>
    <row r="14" spans="2:32" outlineLevel="1">
      <c r="B14" s="65">
        <v>6</v>
      </c>
      <c r="C14" s="385" t="str">
        <f>IF(K14="-","-",VLOOKUP(K14,$O$25:$P$869,2,FALSE))</f>
        <v>-</v>
      </c>
      <c r="D14" s="385"/>
      <c r="E14" s="385"/>
      <c r="F14" s="385"/>
      <c r="G14" s="65"/>
      <c r="H14" s="81" t="str">
        <f>VLOOKUP(C14,$C$25:$L$869,9,FALSE)</f>
        <v/>
      </c>
      <c r="I14" s="81" t="str">
        <f>VLOOKUP(C14,$C$25:$L$869,10,FALSE)</f>
        <v/>
      </c>
      <c r="J14" s="65"/>
      <c r="K14" s="384" t="str">
        <f>IFERROR(LARGE($O$25:$O$869,B14),"-")</f>
        <v>-</v>
      </c>
      <c r="L14" s="384"/>
      <c r="M14" s="65"/>
      <c r="N14" s="67"/>
      <c r="O14" s="68"/>
      <c r="P14" s="71"/>
      <c r="Q14" s="74"/>
      <c r="R14" s="65">
        <v>6</v>
      </c>
      <c r="S14" s="385" t="str">
        <f>IF(AA14="-","-",VLOOKUP(AA14,$AE$25:$AF$869,2,FALSE))</f>
        <v>-</v>
      </c>
      <c r="T14" s="385"/>
      <c r="U14" s="385"/>
      <c r="V14" s="385"/>
      <c r="W14" s="65"/>
      <c r="X14" s="81" t="str">
        <f>VLOOKUP(S14,$S$25:$AB$869,10,FALSE)</f>
        <v/>
      </c>
      <c r="Y14" s="81" t="str">
        <f>VLOOKUP(S14,$S$25:$AB$869,9,FALSE)</f>
        <v/>
      </c>
      <c r="Z14" s="65"/>
      <c r="AA14" s="384" t="str">
        <f>IFERROR(LARGE($AE$25:$AE$869,R14),"-")</f>
        <v>-</v>
      </c>
      <c r="AB14" s="384"/>
      <c r="AC14" s="65"/>
      <c r="AD14" s="67"/>
      <c r="AE14" s="68"/>
      <c r="AF14" s="71"/>
    </row>
    <row r="15" spans="2:32" outlineLevel="1">
      <c r="B15" s="65">
        <v>7</v>
      </c>
      <c r="C15" s="385" t="str">
        <f>IF(K15="-","-",VLOOKUP(K15,$O$25:$P$869,2,FALSE))</f>
        <v>-</v>
      </c>
      <c r="D15" s="385"/>
      <c r="E15" s="385"/>
      <c r="F15" s="385"/>
      <c r="G15" s="65"/>
      <c r="H15" s="81" t="str">
        <f>VLOOKUP(C15,$C$25:$L$869,9,FALSE)</f>
        <v/>
      </c>
      <c r="I15" s="81" t="str">
        <f>VLOOKUP(C15,$C$25:$L$869,10,FALSE)</f>
        <v/>
      </c>
      <c r="J15" s="65"/>
      <c r="K15" s="384" t="str">
        <f>IFERROR(LARGE($O$25:$O$869,B15),"-")</f>
        <v>-</v>
      </c>
      <c r="L15" s="384"/>
      <c r="M15" s="65"/>
      <c r="N15" s="67"/>
      <c r="O15" s="68"/>
      <c r="P15" s="71"/>
      <c r="Q15" s="74"/>
      <c r="R15" s="65">
        <v>7</v>
      </c>
      <c r="S15" s="385" t="str">
        <f>IF(AA15="-","-",VLOOKUP(AA15,$AE$25:$AF$869,2,FALSE))</f>
        <v>-</v>
      </c>
      <c r="T15" s="385"/>
      <c r="U15" s="385"/>
      <c r="V15" s="385"/>
      <c r="W15" s="65"/>
      <c r="X15" s="81" t="str">
        <f>VLOOKUP(S15,$S$25:$AB$869,10,FALSE)</f>
        <v/>
      </c>
      <c r="Y15" s="81" t="str">
        <f>VLOOKUP(S15,$S$25:$AB$869,9,FALSE)</f>
        <v/>
      </c>
      <c r="Z15" s="65"/>
      <c r="AA15" s="384" t="str">
        <f>IFERROR(LARGE($AE$25:$AE$869,R15),"-")</f>
        <v>-</v>
      </c>
      <c r="AB15" s="384"/>
      <c r="AC15" s="65"/>
      <c r="AD15" s="67"/>
      <c r="AE15" s="68"/>
      <c r="AF15" s="71"/>
    </row>
    <row r="16" spans="2:32" outlineLevel="1">
      <c r="B16" s="65">
        <v>8</v>
      </c>
      <c r="C16" s="385" t="str">
        <f>IF(K16="-","-",VLOOKUP(K16,$O$25:$P$869,2,FALSE))</f>
        <v>-</v>
      </c>
      <c r="D16" s="385"/>
      <c r="E16" s="385"/>
      <c r="F16" s="385"/>
      <c r="G16" s="65"/>
      <c r="H16" s="81" t="str">
        <f>VLOOKUP(C16,$C$25:$L$869,9,FALSE)</f>
        <v/>
      </c>
      <c r="I16" s="81" t="str">
        <f>VLOOKUP(C16,$C$25:$L$869,10,FALSE)</f>
        <v/>
      </c>
      <c r="J16" s="65"/>
      <c r="K16" s="384" t="str">
        <f>IFERROR(LARGE($O$25:$O$869,B16),"-")</f>
        <v>-</v>
      </c>
      <c r="L16" s="384"/>
      <c r="M16" s="65"/>
      <c r="N16" s="67"/>
      <c r="O16" s="68"/>
      <c r="P16" s="71"/>
      <c r="Q16" s="74"/>
      <c r="R16" s="65">
        <v>8</v>
      </c>
      <c r="S16" s="385" t="str">
        <f>IF(AA16="-","-",VLOOKUP(AA16,$AE$25:$AF$869,2,FALSE))</f>
        <v>-</v>
      </c>
      <c r="T16" s="385"/>
      <c r="U16" s="385"/>
      <c r="V16" s="385"/>
      <c r="W16" s="65"/>
      <c r="X16" s="81" t="str">
        <f>VLOOKUP(S16,$S$25:$AB$869,10,FALSE)</f>
        <v/>
      </c>
      <c r="Y16" s="81" t="str">
        <f>VLOOKUP(S16,$S$25:$AB$869,9,FALSE)</f>
        <v/>
      </c>
      <c r="Z16" s="65"/>
      <c r="AA16" s="384" t="str">
        <f>IFERROR(LARGE($AE$25:$AE$869,R16),"-")</f>
        <v>-</v>
      </c>
      <c r="AB16" s="384"/>
      <c r="AC16" s="65"/>
      <c r="AD16" s="67"/>
      <c r="AE16" s="68"/>
      <c r="AF16" s="71"/>
    </row>
    <row r="17" spans="2:32" outlineLevel="1">
      <c r="B17" s="65">
        <v>9</v>
      </c>
      <c r="C17" s="385" t="str">
        <f>IF(K17="-","-",VLOOKUP(K17,$O$25:$P$869,2,FALSE))</f>
        <v>-</v>
      </c>
      <c r="D17" s="385"/>
      <c r="E17" s="385"/>
      <c r="F17" s="385"/>
      <c r="G17" s="65"/>
      <c r="H17" s="81" t="str">
        <f>VLOOKUP(C17,$C$25:$L$869,9,FALSE)</f>
        <v/>
      </c>
      <c r="I17" s="81" t="str">
        <f>VLOOKUP(C17,$C$25:$L$869,10,FALSE)</f>
        <v/>
      </c>
      <c r="J17" s="65"/>
      <c r="K17" s="384" t="str">
        <f>IFERROR(LARGE($O$25:$O$869,B17),"-")</f>
        <v>-</v>
      </c>
      <c r="L17" s="384"/>
      <c r="M17" s="65"/>
      <c r="N17" s="67"/>
      <c r="O17" s="68"/>
      <c r="P17" s="71"/>
      <c r="Q17" s="74"/>
      <c r="R17" s="65">
        <v>9</v>
      </c>
      <c r="S17" s="385" t="str">
        <f>IF(AA17="-","-",VLOOKUP(AA17,$AE$25:$AF$869,2,FALSE))</f>
        <v>-</v>
      </c>
      <c r="T17" s="385"/>
      <c r="U17" s="385"/>
      <c r="V17" s="385"/>
      <c r="W17" s="65"/>
      <c r="X17" s="81" t="str">
        <f>VLOOKUP(S17,$S$25:$AB$869,10,FALSE)</f>
        <v/>
      </c>
      <c r="Y17" s="81" t="str">
        <f>VLOOKUP(S17,$S$25:$AB$869,9,FALSE)</f>
        <v/>
      </c>
      <c r="Z17" s="65"/>
      <c r="AA17" s="384" t="str">
        <f>IFERROR(LARGE($AE$25:$AE$869,R17),"-")</f>
        <v>-</v>
      </c>
      <c r="AB17" s="384"/>
      <c r="AC17" s="65"/>
      <c r="AD17" s="67"/>
      <c r="AE17" s="68"/>
      <c r="AF17" s="71"/>
    </row>
    <row r="18" spans="2:32" outlineLevel="1">
      <c r="B18" s="65">
        <v>10</v>
      </c>
      <c r="C18" s="385" t="str">
        <f>IF(K18="-","-",VLOOKUP(K18,$O$25:$P$869,2,FALSE))</f>
        <v>-</v>
      </c>
      <c r="D18" s="385"/>
      <c r="E18" s="385"/>
      <c r="F18" s="385"/>
      <c r="G18" s="65"/>
      <c r="H18" s="81" t="str">
        <f>VLOOKUP(C18,$C$25:$L$869,9,FALSE)</f>
        <v/>
      </c>
      <c r="I18" s="81" t="str">
        <f>VLOOKUP(C18,$C$25:$L$869,10,FALSE)</f>
        <v/>
      </c>
      <c r="J18" s="65"/>
      <c r="K18" s="384" t="str">
        <f>IFERROR(LARGE($O$25:$O$869,B18),"-")</f>
        <v>-</v>
      </c>
      <c r="L18" s="384"/>
      <c r="M18" s="65"/>
      <c r="N18" s="67"/>
      <c r="O18" s="68"/>
      <c r="P18" s="71"/>
      <c r="Q18" s="74"/>
      <c r="R18" s="65">
        <v>10</v>
      </c>
      <c r="S18" s="385" t="str">
        <f>IF(AA18="-","-",VLOOKUP(AA18,$AE$25:$AF$869,2,FALSE))</f>
        <v>-</v>
      </c>
      <c r="T18" s="385"/>
      <c r="U18" s="385"/>
      <c r="V18" s="385"/>
      <c r="W18" s="65"/>
      <c r="X18" s="81" t="str">
        <f>VLOOKUP(S18,$S$25:$AB$869,10,FALSE)</f>
        <v/>
      </c>
      <c r="Y18" s="81" t="str">
        <f>VLOOKUP(S18,$S$25:$AB$869,9,FALSE)</f>
        <v/>
      </c>
      <c r="Z18" s="65"/>
      <c r="AA18" s="384" t="str">
        <f>IFERROR(LARGE($AE$25:$AE$869,R18),"-")</f>
        <v>-</v>
      </c>
      <c r="AB18" s="384"/>
      <c r="AC18" s="65"/>
      <c r="AD18" s="67"/>
      <c r="AE18" s="68"/>
      <c r="AF18" s="71"/>
    </row>
    <row r="19" spans="2:32">
      <c r="B19" s="65"/>
      <c r="C19" s="65"/>
      <c r="D19" s="65"/>
      <c r="E19" s="65"/>
      <c r="F19" s="65"/>
      <c r="G19" s="65"/>
      <c r="H19" s="66"/>
      <c r="I19" s="66"/>
      <c r="J19" s="65"/>
      <c r="K19" s="70"/>
      <c r="L19" s="70"/>
      <c r="M19" s="65"/>
      <c r="N19" s="67"/>
      <c r="O19" s="68"/>
      <c r="P19" s="71"/>
      <c r="Q19" s="74"/>
      <c r="R19" s="65"/>
      <c r="S19" s="65"/>
      <c r="T19" s="65"/>
      <c r="U19" s="65"/>
      <c r="V19" s="65"/>
      <c r="W19" s="65"/>
      <c r="X19" s="66"/>
      <c r="Y19" s="66"/>
      <c r="Z19" s="65"/>
      <c r="AA19" s="65"/>
      <c r="AB19" s="65"/>
      <c r="AC19" s="65"/>
      <c r="AD19" s="67"/>
      <c r="AE19" s="68"/>
      <c r="AF19" s="71"/>
    </row>
    <row r="20" spans="2:32">
      <c r="B20" s="65"/>
      <c r="C20" s="65"/>
      <c r="D20" s="65"/>
      <c r="E20" s="65"/>
      <c r="F20" s="65"/>
      <c r="G20" s="65"/>
      <c r="H20" s="66"/>
      <c r="I20" s="66"/>
      <c r="J20" s="65"/>
      <c r="K20" s="65"/>
      <c r="L20" s="65"/>
      <c r="M20" s="65"/>
      <c r="N20" s="67"/>
      <c r="O20" s="68"/>
      <c r="P20" s="71"/>
      <c r="Q20" s="74"/>
      <c r="R20" s="65"/>
      <c r="S20" s="65"/>
      <c r="T20" s="65"/>
      <c r="U20" s="65"/>
      <c r="V20" s="65"/>
      <c r="W20" s="65"/>
      <c r="X20" s="66"/>
      <c r="Y20" s="66"/>
      <c r="Z20" s="65"/>
      <c r="AA20" s="65"/>
      <c r="AB20" s="65"/>
      <c r="AC20" s="65"/>
      <c r="AD20" s="67"/>
      <c r="AE20" s="68"/>
      <c r="AF20" s="71"/>
    </row>
    <row r="21" spans="2:32">
      <c r="B21" s="65"/>
      <c r="C21" s="65"/>
      <c r="D21" s="65"/>
      <c r="E21" s="65"/>
      <c r="F21" s="65"/>
      <c r="G21" s="65"/>
      <c r="H21" s="66"/>
      <c r="I21" s="66"/>
      <c r="J21" s="65"/>
      <c r="K21" s="65"/>
      <c r="L21" s="65"/>
      <c r="M21" s="65"/>
      <c r="N21" s="67"/>
      <c r="O21" s="68"/>
      <c r="P21" s="71"/>
      <c r="Q21" s="74"/>
      <c r="R21" s="65"/>
      <c r="S21" s="65"/>
      <c r="T21" s="65"/>
      <c r="U21" s="65"/>
      <c r="V21" s="65"/>
      <c r="W21" s="65"/>
      <c r="X21" s="66"/>
      <c r="Y21" s="66"/>
      <c r="Z21" s="65"/>
      <c r="AA21" s="65"/>
      <c r="AB21" s="65"/>
      <c r="AC21" s="65"/>
      <c r="AD21" s="67"/>
      <c r="AE21" s="68"/>
      <c r="AF21" s="71"/>
    </row>
    <row r="22" spans="2:32">
      <c r="B22" s="65"/>
      <c r="C22" s="65"/>
      <c r="D22" s="65"/>
      <c r="E22" s="65"/>
      <c r="F22" s="65"/>
      <c r="G22" s="65"/>
      <c r="H22" s="66"/>
      <c r="I22" s="66"/>
      <c r="J22" s="65"/>
      <c r="K22" s="65"/>
      <c r="L22" s="65"/>
      <c r="M22" s="65"/>
      <c r="N22" s="67"/>
      <c r="O22" s="68"/>
      <c r="P22" s="71"/>
      <c r="Q22" s="74"/>
      <c r="R22" s="65"/>
      <c r="S22" s="65"/>
      <c r="T22" s="65"/>
      <c r="U22" s="65"/>
      <c r="V22" s="65"/>
      <c r="W22" s="65"/>
      <c r="X22" s="66"/>
      <c r="Y22" s="66"/>
      <c r="Z22" s="65"/>
      <c r="AA22" s="65"/>
      <c r="AB22" s="65"/>
      <c r="AC22" s="65"/>
      <c r="AD22" s="67"/>
      <c r="AE22" s="68"/>
      <c r="AF22" s="71"/>
    </row>
    <row r="23" spans="2:32">
      <c r="B23" s="54"/>
      <c r="C23" s="54"/>
      <c r="D23" s="54"/>
      <c r="E23" s="54"/>
      <c r="F23" s="54"/>
      <c r="G23" s="54"/>
      <c r="H23" s="58"/>
      <c r="I23" s="58"/>
      <c r="J23" s="54"/>
      <c r="K23" s="54"/>
      <c r="L23" s="54"/>
      <c r="M23" s="54"/>
      <c r="N23" s="59"/>
      <c r="O23" s="57"/>
      <c r="P23" s="71"/>
      <c r="Q23" s="75"/>
      <c r="R23" s="54"/>
      <c r="S23" s="54"/>
      <c r="T23" s="54"/>
      <c r="U23" s="54"/>
      <c r="V23" s="54"/>
      <c r="W23" s="54"/>
      <c r="X23" s="58"/>
      <c r="Y23" s="58"/>
      <c r="Z23" s="54"/>
      <c r="AA23" s="54"/>
      <c r="AB23" s="54"/>
      <c r="AC23" s="54"/>
      <c r="AD23" s="59"/>
      <c r="AE23" s="57"/>
      <c r="AF23" s="71"/>
    </row>
    <row r="24" spans="2:32" ht="15.75" outlineLevel="1" thickBot="1">
      <c r="B24" s="61" t="s">
        <v>16</v>
      </c>
      <c r="C24" s="61" t="s">
        <v>14</v>
      </c>
      <c r="D24" s="55"/>
      <c r="E24" s="61" t="s">
        <v>17</v>
      </c>
      <c r="F24" s="61" t="s">
        <v>18</v>
      </c>
      <c r="G24" s="55"/>
      <c r="H24" s="62" t="s">
        <v>19</v>
      </c>
      <c r="I24" s="62" t="s">
        <v>20</v>
      </c>
      <c r="J24" s="55"/>
      <c r="K24" s="61" t="s">
        <v>7</v>
      </c>
      <c r="L24" s="61" t="s">
        <v>6</v>
      </c>
      <c r="M24" s="55"/>
      <c r="N24" s="63" t="s">
        <v>21</v>
      </c>
      <c r="O24" s="64" t="s">
        <v>15</v>
      </c>
      <c r="P24" s="72" t="s">
        <v>14</v>
      </c>
      <c r="Q24" s="76"/>
      <c r="R24" s="61" t="s">
        <v>16</v>
      </c>
      <c r="S24" s="61" t="s">
        <v>14</v>
      </c>
      <c r="T24" s="55"/>
      <c r="U24" s="61" t="s">
        <v>18</v>
      </c>
      <c r="V24" s="61" t="s">
        <v>17</v>
      </c>
      <c r="W24" s="55"/>
      <c r="X24" s="62" t="s">
        <v>20</v>
      </c>
      <c r="Y24" s="62" t="s">
        <v>19</v>
      </c>
      <c r="Z24" s="55"/>
      <c r="AA24" s="61" t="s">
        <v>6</v>
      </c>
      <c r="AB24" s="61" t="s">
        <v>7</v>
      </c>
      <c r="AC24" s="55"/>
      <c r="AD24" s="63" t="s">
        <v>21</v>
      </c>
      <c r="AE24" s="64" t="s">
        <v>15</v>
      </c>
      <c r="AF24" s="72" t="s">
        <v>14</v>
      </c>
    </row>
    <row r="25" spans="2:32" outlineLevel="1">
      <c r="B25" s="54" t="e">
        <f>IF(OR('Inventaire M'!#REF!="Dispo/Liquidité Investie",'Inventaire M'!#REF!="Option/Future",'Inventaire M'!#REF!="TCN",'Inventaire M'!#REF!=""),"-",'Inventaire M'!#REF!)</f>
        <v>#REF!</v>
      </c>
      <c r="C25" s="54" t="e">
        <f>IF(OR('Inventaire M'!#REF!="Dispo/Liquidité Investie",'Inventaire M'!#REF!="Option/Future",'Inventaire M'!#REF!="TCN",'Inventaire M'!#REF!=""),"-",'Inventaire M'!#REF!)</f>
        <v>#REF!</v>
      </c>
      <c r="D25" s="54"/>
      <c r="E25" s="54" t="e">
        <f>IF(B25="-","",INDEX('Inventaire M'!$A$2:$AW$9305,MATCH(B25,'Inventaire M'!$A:$A,0)-1,MATCH("Cours EUR",'Inventaire M'!#REF!,0)))</f>
        <v>#REF!</v>
      </c>
      <c r="F25" s="54" t="e">
        <f>IF(B25="-","",IF(ISERROR(INDEX('Inventaire M-1'!$A$2:$AZ$9320,MATCH(B25,'Inventaire M-1'!$A:$A,0)-1,MATCH("Cours EUR",'Inventaire M-1'!#REF!,0))),"Buy",INDEX('Inventaire M-1'!$A$2:$AZ$9320,MATCH(B25,'Inventaire M-1'!$A:$A,0)-1,MATCH("Cours EUR",'Inventaire M-1'!#REF!,0))))</f>
        <v>#REF!</v>
      </c>
      <c r="G25" s="54"/>
      <c r="H25" s="58" t="e">
        <f>IF(B25="-","",INDEX('Inventaire M'!$A$2:$AW$9305,MATCH(B25,'Inventaire M'!$A:$A,0)-1,MATCH("quantite",'Inventaire M'!#REF!,0)))</f>
        <v>#REF!</v>
      </c>
      <c r="I25" s="58" t="e">
        <f>IF(C25="-","",IF(ISERROR(INDEX('Inventaire M-1'!$A$2:$AZ$9320,MATCH(B25,'Inventaire M-1'!$A:$A,0)-1,MATCH("quantite",'Inventaire M-1'!#REF!,0))),"Buy",INDEX('Inventaire M-1'!$A$2:$AZ$9320,MATCH(B25,'Inventaire M-1'!$A:$A,0)-1,MATCH("quantite",'Inventaire M-1'!#REF!,0))))</f>
        <v>#REF!</v>
      </c>
      <c r="J25" s="54"/>
      <c r="K25" s="56" t="e">
        <f>IF(B25="-","",INDEX('Inventaire M'!$A$2:$AW$9305,MATCH(B25,'Inventaire M'!$A:$A,0)-1,MATCH("poids",'Inventaire M'!#REF!,0)))</f>
        <v>#REF!</v>
      </c>
      <c r="L25" s="56" t="e">
        <f>IF(B25="-","",IF(ISERROR(INDEX('Inventaire M-1'!$A$2:$AZ$9320,MATCH(B25,'Inventaire M-1'!$A:$A,0)-1,MATCH("poids",'Inventaire M-1'!#REF!,0))),"Buy",INDEX('Inventaire M-1'!$A$2:$AZ$9320,MATCH(B25,'Inventaire M-1'!$A:$A,0)-1,MATCH("poids",'Inventaire M-1'!#REF!,0))))</f>
        <v>#REF!</v>
      </c>
      <c r="M25" s="54"/>
      <c r="N25" s="79" t="str">
        <f>IFERROR(IF(I25="Buy",H25,H25-I25),"0")</f>
        <v>0</v>
      </c>
      <c r="O25" s="98" t="str">
        <f>IFERROR(IF(N25&gt;0,IF(L25="Buy",K25,K25-L25)+Q25,""),"")</f>
        <v/>
      </c>
      <c r="P25" s="71" t="e">
        <f>C25</f>
        <v>#REF!</v>
      </c>
      <c r="Q25" s="75">
        <v>1E-10</v>
      </c>
      <c r="R25" s="54" t="e">
        <f>IF(OR('Inventaire M-1'!#REF!="Dispo/Liquidité Investie",'Inventaire M-1'!#REF!="Option/Future",'Inventaire M-1'!#REF!="TCN",'Inventaire M-1'!#REF!=""),"-",'Inventaire M-1'!#REF!)</f>
        <v>#REF!</v>
      </c>
      <c r="S25" s="54" t="e">
        <f>IF(OR('Inventaire M-1'!#REF!="Dispo/Liquidité Investie",'Inventaire M-1'!#REF!="Option/Future",'Inventaire M-1'!#REF!="TCN",'Inventaire M-1'!#REF!=""),"-",'Inventaire M-1'!#REF!)</f>
        <v>#REF!</v>
      </c>
      <c r="T25" s="54"/>
      <c r="U25" s="54" t="e">
        <f>IF(R25="-","",INDEX('Inventaire M-1'!$A$2:$AG$9334,MATCH(R25,'Inventaire M-1'!$A:$A,0)-1,MATCH("Cours EUR",'Inventaire M-1'!#REF!,0)))</f>
        <v>#REF!</v>
      </c>
      <c r="V25" s="54" t="e">
        <f>IF(R25="-","",IF(ISERROR(INDEX('Inventaire M'!$A$2:$AD$9319,MATCH(R25,'Inventaire M'!$A:$A,0)-1,MATCH("Cours EUR",'Inventaire M'!#REF!,0))),"Sell",INDEX('Inventaire M'!$A$2:$AD$9319,MATCH(R25,'Inventaire M'!$A:$A,0)-1,MATCH("Cours EUR",'Inventaire M'!#REF!,0))))</f>
        <v>#REF!</v>
      </c>
      <c r="W25" s="54"/>
      <c r="X25" s="58" t="e">
        <f>IF(R25="-","",INDEX('Inventaire M-1'!$A$2:$AG$9334,MATCH(R25,'Inventaire M-1'!$A:$A,0)-1,MATCH("quantite",'Inventaire M-1'!#REF!,0)))</f>
        <v>#REF!</v>
      </c>
      <c r="Y25" s="58" t="e">
        <f>IF(S25="-","",IF(ISERROR(INDEX('Inventaire M'!$A$2:$AD$9319,MATCH(R25,'Inventaire M'!$A:$A,0)-1,MATCH("quantite",'Inventaire M'!#REF!,0))),"Sell",INDEX('Inventaire M'!$A$2:$AD$9319,MATCH(R25,'Inventaire M'!$A:$A,0)-1,MATCH("quantite",'Inventaire M'!#REF!,0))))</f>
        <v>#REF!</v>
      </c>
      <c r="Z25" s="54"/>
      <c r="AA25" s="56" t="e">
        <f>IF(R25="-","",INDEX('Inventaire M-1'!$A$2:$AG$9334,MATCH(R25,'Inventaire M-1'!$A:$A,0)-1,MATCH("poids",'Inventaire M-1'!#REF!,0)))</f>
        <v>#REF!</v>
      </c>
      <c r="AB25" s="56" t="e">
        <f>IF(R25="-","",IF(ISERROR(INDEX('Inventaire M'!$A$2:$AD$9319,MATCH(R25,'Inventaire M'!$A:$A,0)-1,MATCH("poids",'Inventaire M'!#REF!,0))),"Sell",INDEX('Inventaire M'!$A$2:$AD$9319,MATCH(R25,'Inventaire M'!$A:$A,0)-1,MATCH("poids",'Inventaire M'!#REF!,0))))</f>
        <v>#REF!</v>
      </c>
      <c r="AC25" s="54"/>
      <c r="AD25" s="60" t="str">
        <f>IFERROR(IF(Y25="Sell",-X25,Y25-X25),"0")</f>
        <v>0</v>
      </c>
      <c r="AE25" s="98" t="str">
        <f>IFERROR(IF(AD25&lt;0,IF(AB25="Sell",AA25+10%,AB25-AA25)+Q25,""),"")</f>
        <v/>
      </c>
      <c r="AF25" s="71" t="e">
        <f>S25</f>
        <v>#REF!</v>
      </c>
    </row>
    <row r="26" spans="2:32" outlineLevel="1">
      <c r="B26" s="175" t="e">
        <f>IF(OR('Inventaire M'!#REF!="Dispo/Liquidité Investie",'Inventaire M'!#REF!="Option/Future",'Inventaire M'!#REF!="TCN",'Inventaire M'!#REF!=""),"-",'Inventaire M'!#REF!)</f>
        <v>#REF!</v>
      </c>
      <c r="C26" s="175" t="e">
        <f>IF(OR('Inventaire M'!#REF!="Dispo/Liquidité Investie",'Inventaire M'!#REF!="Option/Future",'Inventaire M'!#REF!="TCN",'Inventaire M'!#REF!=""),"-",'Inventaire M'!#REF!)</f>
        <v>#REF!</v>
      </c>
      <c r="D26" s="175"/>
      <c r="E26" s="175" t="e">
        <f>IF(B26="-","",INDEX('Inventaire M'!$A$2:$AW$9305,MATCH(B26,'Inventaire M'!$A:$A,0)-1,MATCH("Cours EUR",'Inventaire M'!#REF!,0)))</f>
        <v>#REF!</v>
      </c>
      <c r="F26" s="175" t="e">
        <f>IF(B26="-","",IF(ISERROR(INDEX('Inventaire M-1'!$A$2:$AZ$9320,MATCH(B26,'Inventaire M-1'!$A:$A,0)-1,MATCH("Cours EUR",'Inventaire M-1'!#REF!,0))),"Buy",INDEX('Inventaire M-1'!$A$2:$AZ$9320,MATCH(B26,'Inventaire M-1'!$A:$A,0)-1,MATCH("Cours EUR",'Inventaire M-1'!#REF!,0))))</f>
        <v>#REF!</v>
      </c>
      <c r="G26" s="175"/>
      <c r="H26" s="156" t="e">
        <f>IF(B26="-","",INDEX('Inventaire M'!$A$2:$AW$9305,MATCH(B26,'Inventaire M'!$A:$A,0)-1,MATCH("quantite",'Inventaire M'!#REF!,0)))</f>
        <v>#REF!</v>
      </c>
      <c r="I26" s="156" t="e">
        <f>IF(C26="-","",IF(ISERROR(INDEX('Inventaire M-1'!$A$2:$AZ$9320,MATCH(B26,'Inventaire M-1'!$A:$A,0)-1,MATCH("quantite",'Inventaire M-1'!#REF!,0))),"Buy",INDEX('Inventaire M-1'!$A$2:$AZ$9320,MATCH(B26,'Inventaire M-1'!$A:$A,0)-1,MATCH("quantite",'Inventaire M-1'!#REF!,0))))</f>
        <v>#REF!</v>
      </c>
      <c r="J26" s="175"/>
      <c r="K26" s="155" t="e">
        <f>IF(B26="-","",INDEX('Inventaire M'!$A$2:$AW$9305,MATCH(B26,'Inventaire M'!$A:$A,0)-1,MATCH("poids",'Inventaire M'!#REF!,0)))</f>
        <v>#REF!</v>
      </c>
      <c r="L26" s="155" t="e">
        <f>IF(B26="-","",IF(ISERROR(INDEX('Inventaire M-1'!$A$2:$AZ$9320,MATCH(B26,'Inventaire M-1'!$A:$A,0)-1,MATCH("poids",'Inventaire M-1'!#REF!,0))),"Buy",INDEX('Inventaire M-1'!$A$2:$AZ$9320,MATCH(B26,'Inventaire M-1'!$A:$A,0)-1,MATCH("poids",'Inventaire M-1'!#REF!,0))))</f>
        <v>#REF!</v>
      </c>
      <c r="M26" s="175"/>
      <c r="N26" s="157" t="str">
        <f t="shared" ref="N26:N89" si="0">IFERROR(IF(I26="Buy",H26,H26-I26),"0")</f>
        <v>0</v>
      </c>
      <c r="O26" s="98" t="str">
        <f t="shared" ref="O26:O89" si="1">IFERROR(IF(N26&gt;0,IF(L26="Buy",K26,K26-L26)+Q26,""),"")</f>
        <v/>
      </c>
      <c r="P26" s="80" t="e">
        <f t="shared" ref="P26:P89" si="2">C26</f>
        <v>#REF!</v>
      </c>
      <c r="Q26" s="75">
        <v>2.0000000000000001E-10</v>
      </c>
      <c r="R26" s="175" t="e">
        <f>IF(OR('Inventaire M-1'!#REF!="Dispo/Liquidité Investie",'Inventaire M-1'!#REF!="Option/Future",'Inventaire M-1'!#REF!="TCN",'Inventaire M-1'!#REF!=""),"-",'Inventaire M-1'!#REF!)</f>
        <v>#REF!</v>
      </c>
      <c r="S26" s="175" t="e">
        <f>IF(OR('Inventaire M-1'!#REF!="Dispo/Liquidité Investie",'Inventaire M-1'!#REF!="Option/Future",'Inventaire M-1'!#REF!="TCN",'Inventaire M-1'!#REF!=""),"-",'Inventaire M-1'!#REF!)</f>
        <v>#REF!</v>
      </c>
      <c r="T26" s="175"/>
      <c r="U26" s="175" t="e">
        <f>IF(R26="-","",INDEX('Inventaire M-1'!$A$2:$AG$9334,MATCH(R26,'Inventaire M-1'!$A:$A,0)-1,MATCH("Cours EUR",'Inventaire M-1'!#REF!,0)))</f>
        <v>#REF!</v>
      </c>
      <c r="V26" s="175" t="e">
        <f>IF(R26="-","",IF(ISERROR(INDEX('Inventaire M'!$A$2:$AD$9319,MATCH(R26,'Inventaire M'!$A:$A,0)-1,MATCH("Cours EUR",'Inventaire M'!#REF!,0))),"Sell",INDEX('Inventaire M'!$A$2:$AD$9319,MATCH(R26,'Inventaire M'!$A:$A,0)-1,MATCH("Cours EUR",'Inventaire M'!#REF!,0))))</f>
        <v>#REF!</v>
      </c>
      <c r="W26" s="175"/>
      <c r="X26" s="156" t="e">
        <f>IF(R26="-","",INDEX('Inventaire M-1'!$A$2:$AG$9334,MATCH(R26,'Inventaire M-1'!$A:$A,0)-1,MATCH("quantite",'Inventaire M-1'!#REF!,0)))</f>
        <v>#REF!</v>
      </c>
      <c r="Y26" s="156" t="e">
        <f>IF(S26="-","",IF(ISERROR(INDEX('Inventaire M'!$A$2:$AD$9319,MATCH(R26,'Inventaire M'!$A:$A,0)-1,MATCH("quantite",'Inventaire M'!#REF!,0))),"Sell",INDEX('Inventaire M'!$A$2:$AD$9319,MATCH(R26,'Inventaire M'!$A:$A,0)-1,MATCH("quantite",'Inventaire M'!#REF!,0))))</f>
        <v>#REF!</v>
      </c>
      <c r="Z26" s="175"/>
      <c r="AA26" s="155" t="e">
        <f>IF(R26="-","",INDEX('Inventaire M-1'!$A$2:$AG$9334,MATCH(R26,'Inventaire M-1'!$A:$A,0)-1,MATCH("poids",'Inventaire M-1'!#REF!,0)))</f>
        <v>#REF!</v>
      </c>
      <c r="AB26" s="155" t="e">
        <f>IF(R26="-","",IF(ISERROR(INDEX('Inventaire M'!$A$2:$AD$9319,MATCH(R26,'Inventaire M'!$A:$A,0)-1,MATCH("poids",'Inventaire M'!#REF!,0))),"Sell",INDEX('Inventaire M'!$A$2:$AD$9319,MATCH(R26,'Inventaire M'!$A:$A,0)-1,MATCH("poids",'Inventaire M'!#REF!,0))))</f>
        <v>#REF!</v>
      </c>
      <c r="AC26" s="175"/>
      <c r="AD26" s="157" t="str">
        <f t="shared" ref="AD26:AD89" si="3">IFERROR(IF(Y26="Sell",-X26,Y26-X26),"0")</f>
        <v>0</v>
      </c>
      <c r="AE26" s="98" t="str">
        <f t="shared" ref="AE26:AE89" si="4">IFERROR(IF(AD26&lt;0,IF(AB26="Sell",AA26+10%,AB26-AA26)+Q26,""),"")</f>
        <v/>
      </c>
      <c r="AF26" s="80" t="e">
        <f t="shared" ref="AF26:AF89" si="5">S26</f>
        <v>#REF!</v>
      </c>
    </row>
    <row r="27" spans="2:32" outlineLevel="1">
      <c r="B27" s="175" t="e">
        <f>IF(OR('Inventaire M'!#REF!="Dispo/Liquidité Investie",'Inventaire M'!#REF!="Option/Future",'Inventaire M'!#REF!="TCN",'Inventaire M'!#REF!=""),"-",'Inventaire M'!#REF!)</f>
        <v>#REF!</v>
      </c>
      <c r="C27" s="175" t="e">
        <f>IF(OR('Inventaire M'!#REF!="Dispo/Liquidité Investie",'Inventaire M'!#REF!="Option/Future",'Inventaire M'!#REF!="TCN",'Inventaire M'!#REF!=""),"-",'Inventaire M'!#REF!)</f>
        <v>#REF!</v>
      </c>
      <c r="D27" s="175"/>
      <c r="E27" s="175" t="e">
        <f>IF(B27="-","",INDEX('Inventaire M'!$A$2:$AW$9305,MATCH(B27,'Inventaire M'!$A:$A,0)-1,MATCH("Cours EUR",'Inventaire M'!#REF!,0)))</f>
        <v>#REF!</v>
      </c>
      <c r="F27" s="175" t="e">
        <f>IF(B27="-","",IF(ISERROR(INDEX('Inventaire M-1'!$A$2:$AZ$9320,MATCH(B27,'Inventaire M-1'!$A:$A,0)-1,MATCH("Cours EUR",'Inventaire M-1'!#REF!,0))),"Buy",INDEX('Inventaire M-1'!$A$2:$AZ$9320,MATCH(B27,'Inventaire M-1'!$A:$A,0)-1,MATCH("Cours EUR",'Inventaire M-1'!#REF!,0))))</f>
        <v>#REF!</v>
      </c>
      <c r="G27" s="175"/>
      <c r="H27" s="156" t="e">
        <f>IF(B27="-","",INDEX('Inventaire M'!$A$2:$AW$9305,MATCH(B27,'Inventaire M'!$A:$A,0)-1,MATCH("quantite",'Inventaire M'!#REF!,0)))</f>
        <v>#REF!</v>
      </c>
      <c r="I27" s="156" t="e">
        <f>IF(C27="-","",IF(ISERROR(INDEX('Inventaire M-1'!$A$2:$AZ$9320,MATCH(B27,'Inventaire M-1'!$A:$A,0)-1,MATCH("quantite",'Inventaire M-1'!#REF!,0))),"Buy",INDEX('Inventaire M-1'!$A$2:$AZ$9320,MATCH(B27,'Inventaire M-1'!$A:$A,0)-1,MATCH("quantite",'Inventaire M-1'!#REF!,0))))</f>
        <v>#REF!</v>
      </c>
      <c r="J27" s="175"/>
      <c r="K27" s="155" t="e">
        <f>IF(B27="-","",INDEX('Inventaire M'!$A$2:$AW$9305,MATCH(B27,'Inventaire M'!$A:$A,0)-1,MATCH("poids",'Inventaire M'!#REF!,0)))</f>
        <v>#REF!</v>
      </c>
      <c r="L27" s="155" t="e">
        <f>IF(B27="-","",IF(ISERROR(INDEX('Inventaire M-1'!$A$2:$AZ$9320,MATCH(B27,'Inventaire M-1'!$A:$A,0)-1,MATCH("poids",'Inventaire M-1'!#REF!,0))),"Buy",INDEX('Inventaire M-1'!$A$2:$AZ$9320,MATCH(B27,'Inventaire M-1'!$A:$A,0)-1,MATCH("poids",'Inventaire M-1'!#REF!,0))))</f>
        <v>#REF!</v>
      </c>
      <c r="M27" s="175"/>
      <c r="N27" s="157" t="str">
        <f t="shared" si="0"/>
        <v>0</v>
      </c>
      <c r="O27" s="98" t="str">
        <f t="shared" si="1"/>
        <v/>
      </c>
      <c r="P27" s="80" t="e">
        <f t="shared" si="2"/>
        <v>#REF!</v>
      </c>
      <c r="Q27" s="75">
        <v>3E-10</v>
      </c>
      <c r="R27" s="175" t="e">
        <f>IF(OR('Inventaire M-1'!#REF!="Dispo/Liquidité Investie",'Inventaire M-1'!#REF!="Option/Future",'Inventaire M-1'!#REF!="TCN",'Inventaire M-1'!#REF!=""),"-",'Inventaire M-1'!#REF!)</f>
        <v>#REF!</v>
      </c>
      <c r="S27" s="175" t="e">
        <f>IF(OR('Inventaire M-1'!#REF!="Dispo/Liquidité Investie",'Inventaire M-1'!#REF!="Option/Future",'Inventaire M-1'!#REF!="TCN",'Inventaire M-1'!#REF!=""),"-",'Inventaire M-1'!#REF!)</f>
        <v>#REF!</v>
      </c>
      <c r="T27" s="175"/>
      <c r="U27" s="175" t="e">
        <f>IF(R27="-","",INDEX('Inventaire M-1'!$A$2:$AG$9334,MATCH(R27,'Inventaire M-1'!$A:$A,0)-1,MATCH("Cours EUR",'Inventaire M-1'!#REF!,0)))</f>
        <v>#REF!</v>
      </c>
      <c r="V27" s="175" t="e">
        <f>IF(R27="-","",IF(ISERROR(INDEX('Inventaire M'!$A$2:$AD$9319,MATCH(R27,'Inventaire M'!$A:$A,0)-1,MATCH("Cours EUR",'Inventaire M'!#REF!,0))),"Sell",INDEX('Inventaire M'!$A$2:$AD$9319,MATCH(R27,'Inventaire M'!$A:$A,0)-1,MATCH("Cours EUR",'Inventaire M'!#REF!,0))))</f>
        <v>#REF!</v>
      </c>
      <c r="W27" s="175"/>
      <c r="X27" s="156" t="e">
        <f>IF(R27="-","",INDEX('Inventaire M-1'!$A$2:$AG$9334,MATCH(R27,'Inventaire M-1'!$A:$A,0)-1,MATCH("quantite",'Inventaire M-1'!#REF!,0)))</f>
        <v>#REF!</v>
      </c>
      <c r="Y27" s="156" t="e">
        <f>IF(S27="-","",IF(ISERROR(INDEX('Inventaire M'!$A$2:$AD$9319,MATCH(R27,'Inventaire M'!$A:$A,0)-1,MATCH("quantite",'Inventaire M'!#REF!,0))),"Sell",INDEX('Inventaire M'!$A$2:$AD$9319,MATCH(R27,'Inventaire M'!$A:$A,0)-1,MATCH("quantite",'Inventaire M'!#REF!,0))))</f>
        <v>#REF!</v>
      </c>
      <c r="Z27" s="175"/>
      <c r="AA27" s="155" t="e">
        <f>IF(R27="-","",INDEX('Inventaire M-1'!$A$2:$AG$9334,MATCH(R27,'Inventaire M-1'!$A:$A,0)-1,MATCH("poids",'Inventaire M-1'!#REF!,0)))</f>
        <v>#REF!</v>
      </c>
      <c r="AB27" s="155" t="e">
        <f>IF(R27="-","",IF(ISERROR(INDEX('Inventaire M'!$A$2:$AD$9319,MATCH(R27,'Inventaire M'!$A:$A,0)-1,MATCH("poids",'Inventaire M'!#REF!,0))),"Sell",INDEX('Inventaire M'!$A$2:$AD$9319,MATCH(R27,'Inventaire M'!$A:$A,0)-1,MATCH("poids",'Inventaire M'!#REF!,0))))</f>
        <v>#REF!</v>
      </c>
      <c r="AC27" s="175"/>
      <c r="AD27" s="157" t="str">
        <f t="shared" si="3"/>
        <v>0</v>
      </c>
      <c r="AE27" s="98" t="str">
        <f t="shared" si="4"/>
        <v/>
      </c>
      <c r="AF27" s="80" t="e">
        <f t="shared" si="5"/>
        <v>#REF!</v>
      </c>
    </row>
    <row r="28" spans="2:32" outlineLevel="1">
      <c r="B28" s="175" t="e">
        <f>IF(OR('Inventaire M'!#REF!="Dispo/Liquidité Investie",'Inventaire M'!#REF!="Option/Future",'Inventaire M'!#REF!="TCN",'Inventaire M'!#REF!=""),"-",'Inventaire M'!#REF!)</f>
        <v>#REF!</v>
      </c>
      <c r="C28" s="175" t="e">
        <f>IF(OR('Inventaire M'!#REF!="Dispo/Liquidité Investie",'Inventaire M'!#REF!="Option/Future",'Inventaire M'!#REF!="TCN",'Inventaire M'!#REF!=""),"-",'Inventaire M'!#REF!)</f>
        <v>#REF!</v>
      </c>
      <c r="D28" s="175"/>
      <c r="E28" s="175" t="e">
        <f>IF(B28="-","",INDEX('Inventaire M'!$A$2:$AW$9305,MATCH(B28,'Inventaire M'!$A:$A,0)-1,MATCH("Cours EUR",'Inventaire M'!#REF!,0)))</f>
        <v>#REF!</v>
      </c>
      <c r="F28" s="175" t="e">
        <f>IF(B28="-","",IF(ISERROR(INDEX('Inventaire M-1'!$A$2:$AZ$9320,MATCH(B28,'Inventaire M-1'!$A:$A,0)-1,MATCH("Cours EUR",'Inventaire M-1'!#REF!,0))),"Buy",INDEX('Inventaire M-1'!$A$2:$AZ$9320,MATCH(B28,'Inventaire M-1'!$A:$A,0)-1,MATCH("Cours EUR",'Inventaire M-1'!#REF!,0))))</f>
        <v>#REF!</v>
      </c>
      <c r="G28" s="175"/>
      <c r="H28" s="156" t="e">
        <f>IF(B28="-","",INDEX('Inventaire M'!$A$2:$AW$9305,MATCH(B28,'Inventaire M'!$A:$A,0)-1,MATCH("quantite",'Inventaire M'!#REF!,0)))</f>
        <v>#REF!</v>
      </c>
      <c r="I28" s="156" t="e">
        <f>IF(C28="-","",IF(ISERROR(INDEX('Inventaire M-1'!$A$2:$AZ$9320,MATCH(B28,'Inventaire M-1'!$A:$A,0)-1,MATCH("quantite",'Inventaire M-1'!#REF!,0))),"Buy",INDEX('Inventaire M-1'!$A$2:$AZ$9320,MATCH(B28,'Inventaire M-1'!$A:$A,0)-1,MATCH("quantite",'Inventaire M-1'!#REF!,0))))</f>
        <v>#REF!</v>
      </c>
      <c r="J28" s="175"/>
      <c r="K28" s="155" t="e">
        <f>IF(B28="-","",INDEX('Inventaire M'!$A$2:$AW$9305,MATCH(B28,'Inventaire M'!$A:$A,0)-1,MATCH("poids",'Inventaire M'!#REF!,0)))</f>
        <v>#REF!</v>
      </c>
      <c r="L28" s="155" t="e">
        <f>IF(B28="-","",IF(ISERROR(INDEX('Inventaire M-1'!$A$2:$AZ$9320,MATCH(B28,'Inventaire M-1'!$A:$A,0)-1,MATCH("poids",'Inventaire M-1'!#REF!,0))),"Buy",INDEX('Inventaire M-1'!$A$2:$AZ$9320,MATCH(B28,'Inventaire M-1'!$A:$A,0)-1,MATCH("poids",'Inventaire M-1'!#REF!,0))))</f>
        <v>#REF!</v>
      </c>
      <c r="M28" s="175"/>
      <c r="N28" s="157" t="str">
        <f t="shared" si="0"/>
        <v>0</v>
      </c>
      <c r="O28" s="98" t="str">
        <f t="shared" si="1"/>
        <v/>
      </c>
      <c r="P28" s="80" t="e">
        <f t="shared" si="2"/>
        <v>#REF!</v>
      </c>
      <c r="Q28" s="75">
        <v>4.0000000000000001E-10</v>
      </c>
      <c r="R28" s="175" t="e">
        <f>IF(OR('Inventaire M-1'!#REF!="Dispo/Liquidité Investie",'Inventaire M-1'!#REF!="Option/Future",'Inventaire M-1'!#REF!="TCN",'Inventaire M-1'!#REF!=""),"-",'Inventaire M-1'!#REF!)</f>
        <v>#REF!</v>
      </c>
      <c r="S28" s="175" t="e">
        <f>IF(OR('Inventaire M-1'!#REF!="Dispo/Liquidité Investie",'Inventaire M-1'!#REF!="Option/Future",'Inventaire M-1'!#REF!="TCN",'Inventaire M-1'!#REF!=""),"-",'Inventaire M-1'!#REF!)</f>
        <v>#REF!</v>
      </c>
      <c r="T28" s="175"/>
      <c r="U28" s="175" t="e">
        <f>IF(R28="-","",INDEX('Inventaire M-1'!$A$2:$AG$9334,MATCH(R28,'Inventaire M-1'!$A:$A,0)-1,MATCH("Cours EUR",'Inventaire M-1'!#REF!,0)))</f>
        <v>#REF!</v>
      </c>
      <c r="V28" s="175" t="e">
        <f>IF(R28="-","",IF(ISERROR(INDEX('Inventaire M'!$A$2:$AD$9319,MATCH(R28,'Inventaire M'!$A:$A,0)-1,MATCH("Cours EUR",'Inventaire M'!#REF!,0))),"Sell",INDEX('Inventaire M'!$A$2:$AD$9319,MATCH(R28,'Inventaire M'!$A:$A,0)-1,MATCH("Cours EUR",'Inventaire M'!#REF!,0))))</f>
        <v>#REF!</v>
      </c>
      <c r="W28" s="175"/>
      <c r="X28" s="156" t="e">
        <f>IF(R28="-","",INDEX('Inventaire M-1'!$A$2:$AG$9334,MATCH(R28,'Inventaire M-1'!$A:$A,0)-1,MATCH("quantite",'Inventaire M-1'!#REF!,0)))</f>
        <v>#REF!</v>
      </c>
      <c r="Y28" s="156" t="e">
        <f>IF(S28="-","",IF(ISERROR(INDEX('Inventaire M'!$A$2:$AD$9319,MATCH(R28,'Inventaire M'!$A:$A,0)-1,MATCH("quantite",'Inventaire M'!#REF!,0))),"Sell",INDEX('Inventaire M'!$A$2:$AD$9319,MATCH(R28,'Inventaire M'!$A:$A,0)-1,MATCH("quantite",'Inventaire M'!#REF!,0))))</f>
        <v>#REF!</v>
      </c>
      <c r="Z28" s="175"/>
      <c r="AA28" s="155" t="e">
        <f>IF(R28="-","",INDEX('Inventaire M-1'!$A$2:$AG$9334,MATCH(R28,'Inventaire M-1'!$A:$A,0)-1,MATCH("poids",'Inventaire M-1'!#REF!,0)))</f>
        <v>#REF!</v>
      </c>
      <c r="AB28" s="155" t="e">
        <f>IF(R28="-","",IF(ISERROR(INDEX('Inventaire M'!$A$2:$AD$9319,MATCH(R28,'Inventaire M'!$A:$A,0)-1,MATCH("poids",'Inventaire M'!#REF!,0))),"Sell",INDEX('Inventaire M'!$A$2:$AD$9319,MATCH(R28,'Inventaire M'!$A:$A,0)-1,MATCH("poids",'Inventaire M'!#REF!,0))))</f>
        <v>#REF!</v>
      </c>
      <c r="AC28" s="175"/>
      <c r="AD28" s="157" t="str">
        <f t="shared" si="3"/>
        <v>0</v>
      </c>
      <c r="AE28" s="98" t="str">
        <f t="shared" si="4"/>
        <v/>
      </c>
      <c r="AF28" s="80" t="e">
        <f t="shared" si="5"/>
        <v>#REF!</v>
      </c>
    </row>
    <row r="29" spans="2:32" outlineLevel="1">
      <c r="B29" s="175" t="e">
        <f>IF(OR('Inventaire M'!#REF!="Dispo/Liquidité Investie",'Inventaire M'!#REF!="Option/Future",'Inventaire M'!#REF!="TCN",'Inventaire M'!#REF!=""),"-",'Inventaire M'!#REF!)</f>
        <v>#REF!</v>
      </c>
      <c r="C29" s="175" t="e">
        <f>IF(OR('Inventaire M'!#REF!="Dispo/Liquidité Investie",'Inventaire M'!#REF!="Option/Future",'Inventaire M'!#REF!="TCN",'Inventaire M'!#REF!=""),"-",'Inventaire M'!#REF!)</f>
        <v>#REF!</v>
      </c>
      <c r="D29" s="175"/>
      <c r="E29" s="175" t="e">
        <f>IF(B29="-","",INDEX('Inventaire M'!$A$2:$AW$9305,MATCH(B29,'Inventaire M'!$A:$A,0)-1,MATCH("Cours EUR",'Inventaire M'!#REF!,0)))</f>
        <v>#REF!</v>
      </c>
      <c r="F29" s="175" t="e">
        <f>IF(B29="-","",IF(ISERROR(INDEX('Inventaire M-1'!$A$2:$AZ$9320,MATCH(B29,'Inventaire M-1'!$A:$A,0)-1,MATCH("Cours EUR",'Inventaire M-1'!#REF!,0))),"Buy",INDEX('Inventaire M-1'!$A$2:$AZ$9320,MATCH(B29,'Inventaire M-1'!$A:$A,0)-1,MATCH("Cours EUR",'Inventaire M-1'!#REF!,0))))</f>
        <v>#REF!</v>
      </c>
      <c r="G29" s="175"/>
      <c r="H29" s="156" t="e">
        <f>IF(B29="-","",INDEX('Inventaire M'!$A$2:$AW$9305,MATCH(B29,'Inventaire M'!$A:$A,0)-1,MATCH("quantite",'Inventaire M'!#REF!,0)))</f>
        <v>#REF!</v>
      </c>
      <c r="I29" s="156" t="e">
        <f>IF(C29="-","",IF(ISERROR(INDEX('Inventaire M-1'!$A$2:$AZ$9320,MATCH(B29,'Inventaire M-1'!$A:$A,0)-1,MATCH("quantite",'Inventaire M-1'!#REF!,0))),"Buy",INDEX('Inventaire M-1'!$A$2:$AZ$9320,MATCH(B29,'Inventaire M-1'!$A:$A,0)-1,MATCH("quantite",'Inventaire M-1'!#REF!,0))))</f>
        <v>#REF!</v>
      </c>
      <c r="J29" s="175"/>
      <c r="K29" s="155" t="e">
        <f>IF(B29="-","",INDEX('Inventaire M'!$A$2:$AW$9305,MATCH(B29,'Inventaire M'!$A:$A,0)-1,MATCH("poids",'Inventaire M'!#REF!,0)))</f>
        <v>#REF!</v>
      </c>
      <c r="L29" s="155" t="e">
        <f>IF(B29="-","",IF(ISERROR(INDEX('Inventaire M-1'!$A$2:$AZ$9320,MATCH(B29,'Inventaire M-1'!$A:$A,0)-1,MATCH("poids",'Inventaire M-1'!#REF!,0))),"Buy",INDEX('Inventaire M-1'!$A$2:$AZ$9320,MATCH(B29,'Inventaire M-1'!$A:$A,0)-1,MATCH("poids",'Inventaire M-1'!#REF!,0))))</f>
        <v>#REF!</v>
      </c>
      <c r="M29" s="175"/>
      <c r="N29" s="157" t="str">
        <f t="shared" si="0"/>
        <v>0</v>
      </c>
      <c r="O29" s="98" t="str">
        <f t="shared" si="1"/>
        <v/>
      </c>
      <c r="P29" s="80" t="e">
        <f t="shared" si="2"/>
        <v>#REF!</v>
      </c>
      <c r="Q29" s="75">
        <v>5.0000000000000003E-10</v>
      </c>
      <c r="R29" s="175" t="e">
        <f>IF(OR('Inventaire M-1'!#REF!="Dispo/Liquidité Investie",'Inventaire M-1'!#REF!="Option/Future",'Inventaire M-1'!#REF!="TCN",'Inventaire M-1'!#REF!=""),"-",'Inventaire M-1'!#REF!)</f>
        <v>#REF!</v>
      </c>
      <c r="S29" s="175" t="e">
        <f>IF(OR('Inventaire M-1'!#REF!="Dispo/Liquidité Investie",'Inventaire M-1'!#REF!="Option/Future",'Inventaire M-1'!#REF!="TCN",'Inventaire M-1'!#REF!=""),"-",'Inventaire M-1'!#REF!)</f>
        <v>#REF!</v>
      </c>
      <c r="T29" s="175"/>
      <c r="U29" s="175" t="e">
        <f>IF(R29="-","",INDEX('Inventaire M-1'!$A$2:$AG$9334,MATCH(R29,'Inventaire M-1'!$A:$A,0)-1,MATCH("Cours EUR",'Inventaire M-1'!#REF!,0)))</f>
        <v>#REF!</v>
      </c>
      <c r="V29" s="175" t="e">
        <f>IF(R29="-","",IF(ISERROR(INDEX('Inventaire M'!$A$2:$AD$9319,MATCH(R29,'Inventaire M'!$A:$A,0)-1,MATCH("Cours EUR",'Inventaire M'!#REF!,0))),"Sell",INDEX('Inventaire M'!$A$2:$AD$9319,MATCH(R29,'Inventaire M'!$A:$A,0)-1,MATCH("Cours EUR",'Inventaire M'!#REF!,0))))</f>
        <v>#REF!</v>
      </c>
      <c r="W29" s="175"/>
      <c r="X29" s="156" t="e">
        <f>IF(R29="-","",INDEX('Inventaire M-1'!$A$2:$AG$9334,MATCH(R29,'Inventaire M-1'!$A:$A,0)-1,MATCH("quantite",'Inventaire M-1'!#REF!,0)))</f>
        <v>#REF!</v>
      </c>
      <c r="Y29" s="156" t="e">
        <f>IF(S29="-","",IF(ISERROR(INDEX('Inventaire M'!$A$2:$AD$9319,MATCH(R29,'Inventaire M'!$A:$A,0)-1,MATCH("quantite",'Inventaire M'!#REF!,0))),"Sell",INDEX('Inventaire M'!$A$2:$AD$9319,MATCH(R29,'Inventaire M'!$A:$A,0)-1,MATCH("quantite",'Inventaire M'!#REF!,0))))</f>
        <v>#REF!</v>
      </c>
      <c r="Z29" s="175"/>
      <c r="AA29" s="155" t="e">
        <f>IF(R29="-","",INDEX('Inventaire M-1'!$A$2:$AG$9334,MATCH(R29,'Inventaire M-1'!$A:$A,0)-1,MATCH("poids",'Inventaire M-1'!#REF!,0)))</f>
        <v>#REF!</v>
      </c>
      <c r="AB29" s="155" t="e">
        <f>IF(R29="-","",IF(ISERROR(INDEX('Inventaire M'!$A$2:$AD$9319,MATCH(R29,'Inventaire M'!$A:$A,0)-1,MATCH("poids",'Inventaire M'!#REF!,0))),"Sell",INDEX('Inventaire M'!$A$2:$AD$9319,MATCH(R29,'Inventaire M'!$A:$A,0)-1,MATCH("poids",'Inventaire M'!#REF!,0))))</f>
        <v>#REF!</v>
      </c>
      <c r="AC29" s="175"/>
      <c r="AD29" s="157" t="str">
        <f t="shared" si="3"/>
        <v>0</v>
      </c>
      <c r="AE29" s="98" t="str">
        <f t="shared" si="4"/>
        <v/>
      </c>
      <c r="AF29" s="80" t="e">
        <f t="shared" si="5"/>
        <v>#REF!</v>
      </c>
    </row>
    <row r="30" spans="2:32" outlineLevel="1">
      <c r="B30" s="175" t="e">
        <f>IF(OR('Inventaire M'!#REF!="Dispo/Liquidité Investie",'Inventaire M'!#REF!="Option/Future",'Inventaire M'!#REF!="TCN",'Inventaire M'!#REF!=""),"-",'Inventaire M'!#REF!)</f>
        <v>#REF!</v>
      </c>
      <c r="C30" s="175" t="e">
        <f>IF(OR('Inventaire M'!#REF!="Dispo/Liquidité Investie",'Inventaire M'!#REF!="Option/Future",'Inventaire M'!#REF!="TCN",'Inventaire M'!#REF!=""),"-",'Inventaire M'!#REF!)</f>
        <v>#REF!</v>
      </c>
      <c r="D30" s="175"/>
      <c r="E30" s="175" t="e">
        <f>IF(B30="-","",INDEX('Inventaire M'!$A$2:$AW$9305,MATCH(B30,'Inventaire M'!$A:$A,0)-1,MATCH("Cours EUR",'Inventaire M'!#REF!,0)))</f>
        <v>#REF!</v>
      </c>
      <c r="F30" s="175" t="e">
        <f>IF(B30="-","",IF(ISERROR(INDEX('Inventaire M-1'!$A$2:$AZ$9320,MATCH(B30,'Inventaire M-1'!$A:$A,0)-1,MATCH("Cours EUR",'Inventaire M-1'!#REF!,0))),"Buy",INDEX('Inventaire M-1'!$A$2:$AZ$9320,MATCH(B30,'Inventaire M-1'!$A:$A,0)-1,MATCH("Cours EUR",'Inventaire M-1'!#REF!,0))))</f>
        <v>#REF!</v>
      </c>
      <c r="G30" s="175"/>
      <c r="H30" s="156" t="e">
        <f>IF(B30="-","",INDEX('Inventaire M'!$A$2:$AW$9305,MATCH(B30,'Inventaire M'!$A:$A,0)-1,MATCH("quantite",'Inventaire M'!#REF!,0)))</f>
        <v>#REF!</v>
      </c>
      <c r="I30" s="156" t="e">
        <f>IF(C30="-","",IF(ISERROR(INDEX('Inventaire M-1'!$A$2:$AZ$9320,MATCH(B30,'Inventaire M-1'!$A:$A,0)-1,MATCH("quantite",'Inventaire M-1'!#REF!,0))),"Buy",INDEX('Inventaire M-1'!$A$2:$AZ$9320,MATCH(B30,'Inventaire M-1'!$A:$A,0)-1,MATCH("quantite",'Inventaire M-1'!#REF!,0))))</f>
        <v>#REF!</v>
      </c>
      <c r="J30" s="175"/>
      <c r="K30" s="155" t="e">
        <f>IF(B30="-","",INDEX('Inventaire M'!$A$2:$AW$9305,MATCH(B30,'Inventaire M'!$A:$A,0)-1,MATCH("poids",'Inventaire M'!#REF!,0)))</f>
        <v>#REF!</v>
      </c>
      <c r="L30" s="155" t="e">
        <f>IF(B30="-","",IF(ISERROR(INDEX('Inventaire M-1'!$A$2:$AZ$9320,MATCH(B30,'Inventaire M-1'!$A:$A,0)-1,MATCH("poids",'Inventaire M-1'!#REF!,0))),"Buy",INDEX('Inventaire M-1'!$A$2:$AZ$9320,MATCH(B30,'Inventaire M-1'!$A:$A,0)-1,MATCH("poids",'Inventaire M-1'!#REF!,0))))</f>
        <v>#REF!</v>
      </c>
      <c r="M30" s="175"/>
      <c r="N30" s="157" t="str">
        <f t="shared" si="0"/>
        <v>0</v>
      </c>
      <c r="O30" s="98" t="str">
        <f t="shared" si="1"/>
        <v/>
      </c>
      <c r="P30" s="80" t="e">
        <f t="shared" si="2"/>
        <v>#REF!</v>
      </c>
      <c r="Q30" s="75">
        <v>6E-10</v>
      </c>
      <c r="R30" s="175" t="e">
        <f>IF(OR('Inventaire M-1'!#REF!="Dispo/Liquidité Investie",'Inventaire M-1'!#REF!="Option/Future",'Inventaire M-1'!#REF!="TCN",'Inventaire M-1'!#REF!=""),"-",'Inventaire M-1'!#REF!)</f>
        <v>#REF!</v>
      </c>
      <c r="S30" s="175" t="e">
        <f>IF(OR('Inventaire M-1'!#REF!="Dispo/Liquidité Investie",'Inventaire M-1'!#REF!="Option/Future",'Inventaire M-1'!#REF!="TCN",'Inventaire M-1'!#REF!=""),"-",'Inventaire M-1'!#REF!)</f>
        <v>#REF!</v>
      </c>
      <c r="T30" s="175"/>
      <c r="U30" s="175" t="e">
        <f>IF(R30="-","",INDEX('Inventaire M-1'!$A$2:$AG$9334,MATCH(R30,'Inventaire M-1'!$A:$A,0)-1,MATCH("Cours EUR",'Inventaire M-1'!#REF!,0)))</f>
        <v>#REF!</v>
      </c>
      <c r="V30" s="175" t="e">
        <f>IF(R30="-","",IF(ISERROR(INDEX('Inventaire M'!$A$2:$AD$9319,MATCH(R30,'Inventaire M'!$A:$A,0)-1,MATCH("Cours EUR",'Inventaire M'!#REF!,0))),"Sell",INDEX('Inventaire M'!$A$2:$AD$9319,MATCH(R30,'Inventaire M'!$A:$A,0)-1,MATCH("Cours EUR",'Inventaire M'!#REF!,0))))</f>
        <v>#REF!</v>
      </c>
      <c r="W30" s="175"/>
      <c r="X30" s="156" t="e">
        <f>IF(R30="-","",INDEX('Inventaire M-1'!$A$2:$AG$9334,MATCH(R30,'Inventaire M-1'!$A:$A,0)-1,MATCH("quantite",'Inventaire M-1'!#REF!,0)))</f>
        <v>#REF!</v>
      </c>
      <c r="Y30" s="156" t="e">
        <f>IF(S30="-","",IF(ISERROR(INDEX('Inventaire M'!$A$2:$AD$9319,MATCH(R30,'Inventaire M'!$A:$A,0)-1,MATCH("quantite",'Inventaire M'!#REF!,0))),"Sell",INDEX('Inventaire M'!$A$2:$AD$9319,MATCH(R30,'Inventaire M'!$A:$A,0)-1,MATCH("quantite",'Inventaire M'!#REF!,0))))</f>
        <v>#REF!</v>
      </c>
      <c r="Z30" s="175"/>
      <c r="AA30" s="155" t="e">
        <f>IF(R30="-","",INDEX('Inventaire M-1'!$A$2:$AG$9334,MATCH(R30,'Inventaire M-1'!$A:$A,0)-1,MATCH("poids",'Inventaire M-1'!#REF!,0)))</f>
        <v>#REF!</v>
      </c>
      <c r="AB30" s="155" t="e">
        <f>IF(R30="-","",IF(ISERROR(INDEX('Inventaire M'!$A$2:$AD$9319,MATCH(R30,'Inventaire M'!$A:$A,0)-1,MATCH("poids",'Inventaire M'!#REF!,0))),"Sell",INDEX('Inventaire M'!$A$2:$AD$9319,MATCH(R30,'Inventaire M'!$A:$A,0)-1,MATCH("poids",'Inventaire M'!#REF!,0))))</f>
        <v>#REF!</v>
      </c>
      <c r="AC30" s="175"/>
      <c r="AD30" s="157" t="str">
        <f t="shared" si="3"/>
        <v>0</v>
      </c>
      <c r="AE30" s="98" t="str">
        <f t="shared" si="4"/>
        <v/>
      </c>
      <c r="AF30" s="80" t="e">
        <f t="shared" si="5"/>
        <v>#REF!</v>
      </c>
    </row>
    <row r="31" spans="2:32" outlineLevel="1">
      <c r="B31" s="175" t="e">
        <f>IF(OR('Inventaire M'!#REF!="Dispo/Liquidité Investie",'Inventaire M'!#REF!="Option/Future",'Inventaire M'!#REF!="TCN",'Inventaire M'!#REF!=""),"-",'Inventaire M'!#REF!)</f>
        <v>#REF!</v>
      </c>
      <c r="C31" s="175" t="e">
        <f>IF(OR('Inventaire M'!#REF!="Dispo/Liquidité Investie",'Inventaire M'!#REF!="Option/Future",'Inventaire M'!#REF!="TCN",'Inventaire M'!#REF!=""),"-",'Inventaire M'!#REF!)</f>
        <v>#REF!</v>
      </c>
      <c r="D31" s="175"/>
      <c r="E31" s="175" t="e">
        <f>IF(B31="-","",INDEX('Inventaire M'!$A$2:$AW$9305,MATCH(B31,'Inventaire M'!$A:$A,0)-1,MATCH("Cours EUR",'Inventaire M'!#REF!,0)))</f>
        <v>#REF!</v>
      </c>
      <c r="F31" s="175" t="e">
        <f>IF(B31="-","",IF(ISERROR(INDEX('Inventaire M-1'!$A$2:$AZ$9320,MATCH(B31,'Inventaire M-1'!$A:$A,0)-1,MATCH("Cours EUR",'Inventaire M-1'!#REF!,0))),"Buy",INDEX('Inventaire M-1'!$A$2:$AZ$9320,MATCH(B31,'Inventaire M-1'!$A:$A,0)-1,MATCH("Cours EUR",'Inventaire M-1'!#REF!,0))))</f>
        <v>#REF!</v>
      </c>
      <c r="G31" s="175"/>
      <c r="H31" s="156" t="e">
        <f>IF(B31="-","",INDEX('Inventaire M'!$A$2:$AW$9305,MATCH(B31,'Inventaire M'!$A:$A,0)-1,MATCH("quantite",'Inventaire M'!#REF!,0)))</f>
        <v>#REF!</v>
      </c>
      <c r="I31" s="156" t="e">
        <f>IF(C31="-","",IF(ISERROR(INDEX('Inventaire M-1'!$A$2:$AZ$9320,MATCH(B31,'Inventaire M-1'!$A:$A,0)-1,MATCH("quantite",'Inventaire M-1'!#REF!,0))),"Buy",INDEX('Inventaire M-1'!$A$2:$AZ$9320,MATCH(B31,'Inventaire M-1'!$A:$A,0)-1,MATCH("quantite",'Inventaire M-1'!#REF!,0))))</f>
        <v>#REF!</v>
      </c>
      <c r="J31" s="175"/>
      <c r="K31" s="155" t="e">
        <f>IF(B31="-","",INDEX('Inventaire M'!$A$2:$AW$9305,MATCH(B31,'Inventaire M'!$A:$A,0)-1,MATCH("poids",'Inventaire M'!#REF!,0)))</f>
        <v>#REF!</v>
      </c>
      <c r="L31" s="155" t="e">
        <f>IF(B31="-","",IF(ISERROR(INDEX('Inventaire M-1'!$A$2:$AZ$9320,MATCH(B31,'Inventaire M-1'!$A:$A,0)-1,MATCH("poids",'Inventaire M-1'!#REF!,0))),"Buy",INDEX('Inventaire M-1'!$A$2:$AZ$9320,MATCH(B31,'Inventaire M-1'!$A:$A,0)-1,MATCH("poids",'Inventaire M-1'!#REF!,0))))</f>
        <v>#REF!</v>
      </c>
      <c r="M31" s="175"/>
      <c r="N31" s="157" t="str">
        <f t="shared" si="0"/>
        <v>0</v>
      </c>
      <c r="O31" s="98" t="str">
        <f t="shared" si="1"/>
        <v/>
      </c>
      <c r="P31" s="80" t="e">
        <f t="shared" si="2"/>
        <v>#REF!</v>
      </c>
      <c r="Q31" s="75">
        <v>6.9999999999999996E-10</v>
      </c>
      <c r="R31" s="175" t="e">
        <f>IF(OR('Inventaire M-1'!#REF!="Dispo/Liquidité Investie",'Inventaire M-1'!#REF!="Option/Future",'Inventaire M-1'!#REF!="TCN",'Inventaire M-1'!#REF!=""),"-",'Inventaire M-1'!#REF!)</f>
        <v>#REF!</v>
      </c>
      <c r="S31" s="175" t="e">
        <f>IF(OR('Inventaire M-1'!#REF!="Dispo/Liquidité Investie",'Inventaire M-1'!#REF!="Option/Future",'Inventaire M-1'!#REF!="TCN",'Inventaire M-1'!#REF!=""),"-",'Inventaire M-1'!#REF!)</f>
        <v>#REF!</v>
      </c>
      <c r="T31" s="175"/>
      <c r="U31" s="175" t="e">
        <f>IF(R31="-","",INDEX('Inventaire M-1'!$A$2:$AG$9334,MATCH(R31,'Inventaire M-1'!$A:$A,0)-1,MATCH("Cours EUR",'Inventaire M-1'!#REF!,0)))</f>
        <v>#REF!</v>
      </c>
      <c r="V31" s="175" t="e">
        <f>IF(R31="-","",IF(ISERROR(INDEX('Inventaire M'!$A$2:$AD$9319,MATCH(R31,'Inventaire M'!$A:$A,0)-1,MATCH("Cours EUR",'Inventaire M'!#REF!,0))),"Sell",INDEX('Inventaire M'!$A$2:$AD$9319,MATCH(R31,'Inventaire M'!$A:$A,0)-1,MATCH("Cours EUR",'Inventaire M'!#REF!,0))))</f>
        <v>#REF!</v>
      </c>
      <c r="W31" s="175"/>
      <c r="X31" s="156" t="e">
        <f>IF(R31="-","",INDEX('Inventaire M-1'!$A$2:$AG$9334,MATCH(R31,'Inventaire M-1'!$A:$A,0)-1,MATCH("quantite",'Inventaire M-1'!#REF!,0)))</f>
        <v>#REF!</v>
      </c>
      <c r="Y31" s="156" t="e">
        <f>IF(S31="-","",IF(ISERROR(INDEX('Inventaire M'!$A$2:$AD$9319,MATCH(R31,'Inventaire M'!$A:$A,0)-1,MATCH("quantite",'Inventaire M'!#REF!,0))),"Sell",INDEX('Inventaire M'!$A$2:$AD$9319,MATCH(R31,'Inventaire M'!$A:$A,0)-1,MATCH("quantite",'Inventaire M'!#REF!,0))))</f>
        <v>#REF!</v>
      </c>
      <c r="Z31" s="175"/>
      <c r="AA31" s="155" t="e">
        <f>IF(R31="-","",INDEX('Inventaire M-1'!$A$2:$AG$9334,MATCH(R31,'Inventaire M-1'!$A:$A,0)-1,MATCH("poids",'Inventaire M-1'!#REF!,0)))</f>
        <v>#REF!</v>
      </c>
      <c r="AB31" s="155" t="e">
        <f>IF(R31="-","",IF(ISERROR(INDEX('Inventaire M'!$A$2:$AD$9319,MATCH(R31,'Inventaire M'!$A:$A,0)-1,MATCH("poids",'Inventaire M'!#REF!,0))),"Sell",INDEX('Inventaire M'!$A$2:$AD$9319,MATCH(R31,'Inventaire M'!$A:$A,0)-1,MATCH("poids",'Inventaire M'!#REF!,0))))</f>
        <v>#REF!</v>
      </c>
      <c r="AC31" s="175"/>
      <c r="AD31" s="157" t="str">
        <f t="shared" si="3"/>
        <v>0</v>
      </c>
      <c r="AE31" s="98" t="str">
        <f t="shared" si="4"/>
        <v/>
      </c>
      <c r="AF31" s="80" t="e">
        <f t="shared" si="5"/>
        <v>#REF!</v>
      </c>
    </row>
    <row r="32" spans="2:32" outlineLevel="1">
      <c r="B32" s="175" t="e">
        <f>IF(OR('Inventaire M'!#REF!="Dispo/Liquidité Investie",'Inventaire M'!#REF!="Option/Future",'Inventaire M'!#REF!="TCN",'Inventaire M'!#REF!=""),"-",'Inventaire M'!#REF!)</f>
        <v>#REF!</v>
      </c>
      <c r="C32" s="175" t="e">
        <f>IF(OR('Inventaire M'!#REF!="Dispo/Liquidité Investie",'Inventaire M'!#REF!="Option/Future",'Inventaire M'!#REF!="TCN",'Inventaire M'!#REF!=""),"-",'Inventaire M'!#REF!)</f>
        <v>#REF!</v>
      </c>
      <c r="D32" s="175"/>
      <c r="E32" s="175" t="e">
        <f>IF(B32="-","",INDEX('Inventaire M'!$A$2:$AW$9305,MATCH(B32,'Inventaire M'!$A:$A,0)-1,MATCH("Cours EUR",'Inventaire M'!#REF!,0)))</f>
        <v>#REF!</v>
      </c>
      <c r="F32" s="175" t="e">
        <f>IF(B32="-","",IF(ISERROR(INDEX('Inventaire M-1'!$A$2:$AZ$9320,MATCH(B32,'Inventaire M-1'!$A:$A,0)-1,MATCH("Cours EUR",'Inventaire M-1'!#REF!,0))),"Buy",INDEX('Inventaire M-1'!$A$2:$AZ$9320,MATCH(B32,'Inventaire M-1'!$A:$A,0)-1,MATCH("Cours EUR",'Inventaire M-1'!#REF!,0))))</f>
        <v>#REF!</v>
      </c>
      <c r="G32" s="175"/>
      <c r="H32" s="156" t="e">
        <f>IF(B32="-","",INDEX('Inventaire M'!$A$2:$AW$9305,MATCH(B32,'Inventaire M'!$A:$A,0)-1,MATCH("quantite",'Inventaire M'!#REF!,0)))</f>
        <v>#REF!</v>
      </c>
      <c r="I32" s="156" t="e">
        <f>IF(C32="-","",IF(ISERROR(INDEX('Inventaire M-1'!$A$2:$AZ$9320,MATCH(B32,'Inventaire M-1'!$A:$A,0)-1,MATCH("quantite",'Inventaire M-1'!#REF!,0))),"Buy",INDEX('Inventaire M-1'!$A$2:$AZ$9320,MATCH(B32,'Inventaire M-1'!$A:$A,0)-1,MATCH("quantite",'Inventaire M-1'!#REF!,0))))</f>
        <v>#REF!</v>
      </c>
      <c r="J32" s="175"/>
      <c r="K32" s="155" t="e">
        <f>IF(B32="-","",INDEX('Inventaire M'!$A$2:$AW$9305,MATCH(B32,'Inventaire M'!$A:$A,0)-1,MATCH("poids",'Inventaire M'!#REF!,0)))</f>
        <v>#REF!</v>
      </c>
      <c r="L32" s="155" t="e">
        <f>IF(B32="-","",IF(ISERROR(INDEX('Inventaire M-1'!$A$2:$AZ$9320,MATCH(B32,'Inventaire M-1'!$A:$A,0)-1,MATCH("poids",'Inventaire M-1'!#REF!,0))),"Buy",INDEX('Inventaire M-1'!$A$2:$AZ$9320,MATCH(B32,'Inventaire M-1'!$A:$A,0)-1,MATCH("poids",'Inventaire M-1'!#REF!,0))))</f>
        <v>#REF!</v>
      </c>
      <c r="M32" s="175"/>
      <c r="N32" s="157" t="str">
        <f t="shared" si="0"/>
        <v>0</v>
      </c>
      <c r="O32" s="98" t="str">
        <f t="shared" si="1"/>
        <v/>
      </c>
      <c r="P32" s="80" t="e">
        <f t="shared" si="2"/>
        <v>#REF!</v>
      </c>
      <c r="Q32" s="75">
        <v>8.0000000000000003E-10</v>
      </c>
      <c r="R32" s="175" t="e">
        <f>IF(OR('Inventaire M-1'!#REF!="Dispo/Liquidité Investie",'Inventaire M-1'!#REF!="Option/Future",'Inventaire M-1'!#REF!="TCN",'Inventaire M-1'!#REF!=""),"-",'Inventaire M-1'!#REF!)</f>
        <v>#REF!</v>
      </c>
      <c r="S32" s="175" t="e">
        <f>IF(OR('Inventaire M-1'!#REF!="Dispo/Liquidité Investie",'Inventaire M-1'!#REF!="Option/Future",'Inventaire M-1'!#REF!="TCN",'Inventaire M-1'!#REF!=""),"-",'Inventaire M-1'!#REF!)</f>
        <v>#REF!</v>
      </c>
      <c r="T32" s="175"/>
      <c r="U32" s="175" t="e">
        <f>IF(R32="-","",INDEX('Inventaire M-1'!$A$2:$AG$9334,MATCH(R32,'Inventaire M-1'!$A:$A,0)-1,MATCH("Cours EUR",'Inventaire M-1'!#REF!,0)))</f>
        <v>#REF!</v>
      </c>
      <c r="V32" s="175" t="e">
        <f>IF(R32="-","",IF(ISERROR(INDEX('Inventaire M'!$A$2:$AD$9319,MATCH(R32,'Inventaire M'!$A:$A,0)-1,MATCH("Cours EUR",'Inventaire M'!#REF!,0))),"Sell",INDEX('Inventaire M'!$A$2:$AD$9319,MATCH(R32,'Inventaire M'!$A:$A,0)-1,MATCH("Cours EUR",'Inventaire M'!#REF!,0))))</f>
        <v>#REF!</v>
      </c>
      <c r="W32" s="175"/>
      <c r="X32" s="156" t="e">
        <f>IF(R32="-","",INDEX('Inventaire M-1'!$A$2:$AG$9334,MATCH(R32,'Inventaire M-1'!$A:$A,0)-1,MATCH("quantite",'Inventaire M-1'!#REF!,0)))</f>
        <v>#REF!</v>
      </c>
      <c r="Y32" s="156" t="e">
        <f>IF(S32="-","",IF(ISERROR(INDEX('Inventaire M'!$A$2:$AD$9319,MATCH(R32,'Inventaire M'!$A:$A,0)-1,MATCH("quantite",'Inventaire M'!#REF!,0))),"Sell",INDEX('Inventaire M'!$A$2:$AD$9319,MATCH(R32,'Inventaire M'!$A:$A,0)-1,MATCH("quantite",'Inventaire M'!#REF!,0))))</f>
        <v>#REF!</v>
      </c>
      <c r="Z32" s="175"/>
      <c r="AA32" s="155" t="e">
        <f>IF(R32="-","",INDEX('Inventaire M-1'!$A$2:$AG$9334,MATCH(R32,'Inventaire M-1'!$A:$A,0)-1,MATCH("poids",'Inventaire M-1'!#REF!,0)))</f>
        <v>#REF!</v>
      </c>
      <c r="AB32" s="155" t="e">
        <f>IF(R32="-","",IF(ISERROR(INDEX('Inventaire M'!$A$2:$AD$9319,MATCH(R32,'Inventaire M'!$A:$A,0)-1,MATCH("poids",'Inventaire M'!#REF!,0))),"Sell",INDEX('Inventaire M'!$A$2:$AD$9319,MATCH(R32,'Inventaire M'!$A:$A,0)-1,MATCH("poids",'Inventaire M'!#REF!,0))))</f>
        <v>#REF!</v>
      </c>
      <c r="AC32" s="175"/>
      <c r="AD32" s="157" t="str">
        <f t="shared" si="3"/>
        <v>0</v>
      </c>
      <c r="AE32" s="98" t="str">
        <f t="shared" si="4"/>
        <v/>
      </c>
      <c r="AF32" s="80" t="e">
        <f t="shared" si="5"/>
        <v>#REF!</v>
      </c>
    </row>
    <row r="33" spans="2:32" outlineLevel="1">
      <c r="B33" s="175" t="e">
        <f>IF(OR('Inventaire M'!#REF!="Dispo/Liquidité Investie",'Inventaire M'!#REF!="Option/Future",'Inventaire M'!#REF!="TCN",'Inventaire M'!#REF!=""),"-",'Inventaire M'!#REF!)</f>
        <v>#REF!</v>
      </c>
      <c r="C33" s="175" t="e">
        <f>IF(OR('Inventaire M'!#REF!="Dispo/Liquidité Investie",'Inventaire M'!#REF!="Option/Future",'Inventaire M'!#REF!="TCN",'Inventaire M'!#REF!=""),"-",'Inventaire M'!#REF!)</f>
        <v>#REF!</v>
      </c>
      <c r="D33" s="175"/>
      <c r="E33" s="175" t="e">
        <f>IF(B33="-","",INDEX('Inventaire M'!$A$2:$AW$9305,MATCH(B33,'Inventaire M'!$A:$A,0)-1,MATCH("Cours EUR",'Inventaire M'!#REF!,0)))</f>
        <v>#REF!</v>
      </c>
      <c r="F33" s="175" t="e">
        <f>IF(B33="-","",IF(ISERROR(INDEX('Inventaire M-1'!$A$2:$AZ$9320,MATCH(B33,'Inventaire M-1'!$A:$A,0)-1,MATCH("Cours EUR",'Inventaire M-1'!#REF!,0))),"Buy",INDEX('Inventaire M-1'!$A$2:$AZ$9320,MATCH(B33,'Inventaire M-1'!$A:$A,0)-1,MATCH("Cours EUR",'Inventaire M-1'!#REF!,0))))</f>
        <v>#REF!</v>
      </c>
      <c r="G33" s="175"/>
      <c r="H33" s="156" t="e">
        <f>IF(B33="-","",INDEX('Inventaire M'!$A$2:$AW$9305,MATCH(B33,'Inventaire M'!$A:$A,0)-1,MATCH("quantite",'Inventaire M'!#REF!,0)))</f>
        <v>#REF!</v>
      </c>
      <c r="I33" s="156" t="e">
        <f>IF(C33="-","",IF(ISERROR(INDEX('Inventaire M-1'!$A$2:$AZ$9320,MATCH(B33,'Inventaire M-1'!$A:$A,0)-1,MATCH("quantite",'Inventaire M-1'!#REF!,0))),"Buy",INDEX('Inventaire M-1'!$A$2:$AZ$9320,MATCH(B33,'Inventaire M-1'!$A:$A,0)-1,MATCH("quantite",'Inventaire M-1'!#REF!,0))))</f>
        <v>#REF!</v>
      </c>
      <c r="J33" s="175"/>
      <c r="K33" s="155" t="e">
        <f>IF(B33="-","",INDEX('Inventaire M'!$A$2:$AW$9305,MATCH(B33,'Inventaire M'!$A:$A,0)-1,MATCH("poids",'Inventaire M'!#REF!,0)))</f>
        <v>#REF!</v>
      </c>
      <c r="L33" s="155" t="e">
        <f>IF(B33="-","",IF(ISERROR(INDEX('Inventaire M-1'!$A$2:$AZ$9320,MATCH(B33,'Inventaire M-1'!$A:$A,0)-1,MATCH("poids",'Inventaire M-1'!#REF!,0))),"Buy",INDEX('Inventaire M-1'!$A$2:$AZ$9320,MATCH(B33,'Inventaire M-1'!$A:$A,0)-1,MATCH("poids",'Inventaire M-1'!#REF!,0))))</f>
        <v>#REF!</v>
      </c>
      <c r="M33" s="175"/>
      <c r="N33" s="157" t="str">
        <f t="shared" si="0"/>
        <v>0</v>
      </c>
      <c r="O33" s="98" t="str">
        <f t="shared" si="1"/>
        <v/>
      </c>
      <c r="P33" s="80" t="e">
        <f t="shared" si="2"/>
        <v>#REF!</v>
      </c>
      <c r="Q33" s="75">
        <v>8.9999999999999999E-10</v>
      </c>
      <c r="R33" s="175" t="e">
        <f>IF(OR('Inventaire M-1'!#REF!="Dispo/Liquidité Investie",'Inventaire M-1'!#REF!="Option/Future",'Inventaire M-1'!#REF!="TCN",'Inventaire M-1'!#REF!=""),"-",'Inventaire M-1'!#REF!)</f>
        <v>#REF!</v>
      </c>
      <c r="S33" s="175" t="e">
        <f>IF(OR('Inventaire M-1'!#REF!="Dispo/Liquidité Investie",'Inventaire M-1'!#REF!="Option/Future",'Inventaire M-1'!#REF!="TCN",'Inventaire M-1'!#REF!=""),"-",'Inventaire M-1'!#REF!)</f>
        <v>#REF!</v>
      </c>
      <c r="T33" s="175"/>
      <c r="U33" s="175" t="e">
        <f>IF(R33="-","",INDEX('Inventaire M-1'!$A$2:$AG$9334,MATCH(R33,'Inventaire M-1'!$A:$A,0)-1,MATCH("Cours EUR",'Inventaire M-1'!#REF!,0)))</f>
        <v>#REF!</v>
      </c>
      <c r="V33" s="175" t="e">
        <f>IF(R33="-","",IF(ISERROR(INDEX('Inventaire M'!$A$2:$AD$9319,MATCH(R33,'Inventaire M'!$A:$A,0)-1,MATCH("Cours EUR",'Inventaire M'!#REF!,0))),"Sell",INDEX('Inventaire M'!$A$2:$AD$9319,MATCH(R33,'Inventaire M'!$A:$A,0)-1,MATCH("Cours EUR",'Inventaire M'!#REF!,0))))</f>
        <v>#REF!</v>
      </c>
      <c r="W33" s="175"/>
      <c r="X33" s="156" t="e">
        <f>IF(R33="-","",INDEX('Inventaire M-1'!$A$2:$AG$9334,MATCH(R33,'Inventaire M-1'!$A:$A,0)-1,MATCH("quantite",'Inventaire M-1'!#REF!,0)))</f>
        <v>#REF!</v>
      </c>
      <c r="Y33" s="156" t="e">
        <f>IF(S33="-","",IF(ISERROR(INDEX('Inventaire M'!$A$2:$AD$9319,MATCH(R33,'Inventaire M'!$A:$A,0)-1,MATCH("quantite",'Inventaire M'!#REF!,0))),"Sell",INDEX('Inventaire M'!$A$2:$AD$9319,MATCH(R33,'Inventaire M'!$A:$A,0)-1,MATCH("quantite",'Inventaire M'!#REF!,0))))</f>
        <v>#REF!</v>
      </c>
      <c r="Z33" s="175"/>
      <c r="AA33" s="155" t="e">
        <f>IF(R33="-","",INDEX('Inventaire M-1'!$A$2:$AG$9334,MATCH(R33,'Inventaire M-1'!$A:$A,0)-1,MATCH("poids",'Inventaire M-1'!#REF!,0)))</f>
        <v>#REF!</v>
      </c>
      <c r="AB33" s="155" t="e">
        <f>IF(R33="-","",IF(ISERROR(INDEX('Inventaire M'!$A$2:$AD$9319,MATCH(R33,'Inventaire M'!$A:$A,0)-1,MATCH("poids",'Inventaire M'!#REF!,0))),"Sell",INDEX('Inventaire M'!$A$2:$AD$9319,MATCH(R33,'Inventaire M'!$A:$A,0)-1,MATCH("poids",'Inventaire M'!#REF!,0))))</f>
        <v>#REF!</v>
      </c>
      <c r="AC33" s="175"/>
      <c r="AD33" s="157" t="str">
        <f t="shared" si="3"/>
        <v>0</v>
      </c>
      <c r="AE33" s="98" t="str">
        <f t="shared" si="4"/>
        <v/>
      </c>
      <c r="AF33" s="80" t="e">
        <f t="shared" si="5"/>
        <v>#REF!</v>
      </c>
    </row>
    <row r="34" spans="2:32" outlineLevel="1">
      <c r="B34" s="175" t="e">
        <f>IF(OR('Inventaire M'!#REF!="Dispo/Liquidité Investie",'Inventaire M'!#REF!="Option/Future",'Inventaire M'!#REF!="TCN",'Inventaire M'!#REF!=""),"-",'Inventaire M'!#REF!)</f>
        <v>#REF!</v>
      </c>
      <c r="C34" s="175" t="e">
        <f>IF(OR('Inventaire M'!#REF!="Dispo/Liquidité Investie",'Inventaire M'!#REF!="Option/Future",'Inventaire M'!#REF!="TCN",'Inventaire M'!#REF!=""),"-",'Inventaire M'!#REF!)</f>
        <v>#REF!</v>
      </c>
      <c r="D34" s="175"/>
      <c r="E34" s="175" t="e">
        <f>IF(B34="-","",INDEX('Inventaire M'!$A$2:$AW$9305,MATCH(B34,'Inventaire M'!$A:$A,0)-1,MATCH("Cours EUR",'Inventaire M'!#REF!,0)))</f>
        <v>#REF!</v>
      </c>
      <c r="F34" s="175" t="e">
        <f>IF(B34="-","",IF(ISERROR(INDEX('Inventaire M-1'!$A$2:$AZ$9320,MATCH(B34,'Inventaire M-1'!$A:$A,0)-1,MATCH("Cours EUR",'Inventaire M-1'!#REF!,0))),"Buy",INDEX('Inventaire M-1'!$A$2:$AZ$9320,MATCH(B34,'Inventaire M-1'!$A:$A,0)-1,MATCH("Cours EUR",'Inventaire M-1'!#REF!,0))))</f>
        <v>#REF!</v>
      </c>
      <c r="G34" s="175"/>
      <c r="H34" s="156" t="e">
        <f>IF(B34="-","",INDEX('Inventaire M'!$A$2:$AW$9305,MATCH(B34,'Inventaire M'!$A:$A,0)-1,MATCH("quantite",'Inventaire M'!#REF!,0)))</f>
        <v>#REF!</v>
      </c>
      <c r="I34" s="156" t="e">
        <f>IF(C34="-","",IF(ISERROR(INDEX('Inventaire M-1'!$A$2:$AZ$9320,MATCH(B34,'Inventaire M-1'!$A:$A,0)-1,MATCH("quantite",'Inventaire M-1'!#REF!,0))),"Buy",INDEX('Inventaire M-1'!$A$2:$AZ$9320,MATCH(B34,'Inventaire M-1'!$A:$A,0)-1,MATCH("quantite",'Inventaire M-1'!#REF!,0))))</f>
        <v>#REF!</v>
      </c>
      <c r="J34" s="175"/>
      <c r="K34" s="155" t="e">
        <f>IF(B34="-","",INDEX('Inventaire M'!$A$2:$AW$9305,MATCH(B34,'Inventaire M'!$A:$A,0)-1,MATCH("poids",'Inventaire M'!#REF!,0)))</f>
        <v>#REF!</v>
      </c>
      <c r="L34" s="155" t="e">
        <f>IF(B34="-","",IF(ISERROR(INDEX('Inventaire M-1'!$A$2:$AZ$9320,MATCH(B34,'Inventaire M-1'!$A:$A,0)-1,MATCH("poids",'Inventaire M-1'!#REF!,0))),"Buy",INDEX('Inventaire M-1'!$A$2:$AZ$9320,MATCH(B34,'Inventaire M-1'!$A:$A,0)-1,MATCH("poids",'Inventaire M-1'!#REF!,0))))</f>
        <v>#REF!</v>
      </c>
      <c r="M34" s="175"/>
      <c r="N34" s="157" t="str">
        <f t="shared" si="0"/>
        <v>0</v>
      </c>
      <c r="O34" s="98" t="str">
        <f t="shared" si="1"/>
        <v/>
      </c>
      <c r="P34" s="80" t="e">
        <f t="shared" si="2"/>
        <v>#REF!</v>
      </c>
      <c r="Q34" s="75">
        <v>1.0000000000000001E-9</v>
      </c>
      <c r="R34" s="175" t="e">
        <f>IF(OR('Inventaire M-1'!#REF!="Dispo/Liquidité Investie",'Inventaire M-1'!#REF!="Option/Future",'Inventaire M-1'!#REF!="TCN",'Inventaire M-1'!#REF!=""),"-",'Inventaire M-1'!#REF!)</f>
        <v>#REF!</v>
      </c>
      <c r="S34" s="175" t="e">
        <f>IF(OR('Inventaire M-1'!#REF!="Dispo/Liquidité Investie",'Inventaire M-1'!#REF!="Option/Future",'Inventaire M-1'!#REF!="TCN",'Inventaire M-1'!#REF!=""),"-",'Inventaire M-1'!#REF!)</f>
        <v>#REF!</v>
      </c>
      <c r="T34" s="175"/>
      <c r="U34" s="175" t="e">
        <f>IF(R34="-","",INDEX('Inventaire M-1'!$A$2:$AG$9334,MATCH(R34,'Inventaire M-1'!$A:$A,0)-1,MATCH("Cours EUR",'Inventaire M-1'!#REF!,0)))</f>
        <v>#REF!</v>
      </c>
      <c r="V34" s="175" t="e">
        <f>IF(R34="-","",IF(ISERROR(INDEX('Inventaire M'!$A$2:$AD$9319,MATCH(R34,'Inventaire M'!$A:$A,0)-1,MATCH("Cours EUR",'Inventaire M'!#REF!,0))),"Sell",INDEX('Inventaire M'!$A$2:$AD$9319,MATCH(R34,'Inventaire M'!$A:$A,0)-1,MATCH("Cours EUR",'Inventaire M'!#REF!,0))))</f>
        <v>#REF!</v>
      </c>
      <c r="W34" s="175"/>
      <c r="X34" s="156" t="e">
        <f>IF(R34="-","",INDEX('Inventaire M-1'!$A$2:$AG$9334,MATCH(R34,'Inventaire M-1'!$A:$A,0)-1,MATCH("quantite",'Inventaire M-1'!#REF!,0)))</f>
        <v>#REF!</v>
      </c>
      <c r="Y34" s="156" t="e">
        <f>IF(S34="-","",IF(ISERROR(INDEX('Inventaire M'!$A$2:$AD$9319,MATCH(R34,'Inventaire M'!$A:$A,0)-1,MATCH("quantite",'Inventaire M'!#REF!,0))),"Sell",INDEX('Inventaire M'!$A$2:$AD$9319,MATCH(R34,'Inventaire M'!$A:$A,0)-1,MATCH("quantite",'Inventaire M'!#REF!,0))))</f>
        <v>#REF!</v>
      </c>
      <c r="Z34" s="175"/>
      <c r="AA34" s="155" t="e">
        <f>IF(R34="-","",INDEX('Inventaire M-1'!$A$2:$AG$9334,MATCH(R34,'Inventaire M-1'!$A:$A,0)-1,MATCH("poids",'Inventaire M-1'!#REF!,0)))</f>
        <v>#REF!</v>
      </c>
      <c r="AB34" s="155" t="e">
        <f>IF(R34="-","",IF(ISERROR(INDEX('Inventaire M'!$A$2:$AD$9319,MATCH(R34,'Inventaire M'!$A:$A,0)-1,MATCH("poids",'Inventaire M'!#REF!,0))),"Sell",INDEX('Inventaire M'!$A$2:$AD$9319,MATCH(R34,'Inventaire M'!$A:$A,0)-1,MATCH("poids",'Inventaire M'!#REF!,0))))</f>
        <v>#REF!</v>
      </c>
      <c r="AC34" s="175"/>
      <c r="AD34" s="157" t="str">
        <f t="shared" si="3"/>
        <v>0</v>
      </c>
      <c r="AE34" s="98" t="str">
        <f t="shared" si="4"/>
        <v/>
      </c>
      <c r="AF34" s="80" t="e">
        <f t="shared" si="5"/>
        <v>#REF!</v>
      </c>
    </row>
    <row r="35" spans="2:32" outlineLevel="1">
      <c r="B35" s="175" t="e">
        <f>IF(OR('Inventaire M'!#REF!="Dispo/Liquidité Investie",'Inventaire M'!#REF!="Option/Future",'Inventaire M'!#REF!="TCN",'Inventaire M'!#REF!=""),"-",'Inventaire M'!#REF!)</f>
        <v>#REF!</v>
      </c>
      <c r="C35" s="175" t="e">
        <f>IF(OR('Inventaire M'!#REF!="Dispo/Liquidité Investie",'Inventaire M'!#REF!="Option/Future",'Inventaire M'!#REF!="TCN",'Inventaire M'!#REF!=""),"-",'Inventaire M'!#REF!)</f>
        <v>#REF!</v>
      </c>
      <c r="D35" s="175"/>
      <c r="E35" s="175" t="e">
        <f>IF(B35="-","",INDEX('Inventaire M'!$A$2:$AW$9305,MATCH(B35,'Inventaire M'!$A:$A,0)-1,MATCH("Cours EUR",'Inventaire M'!#REF!,0)))</f>
        <v>#REF!</v>
      </c>
      <c r="F35" s="175" t="e">
        <f>IF(B35="-","",IF(ISERROR(INDEX('Inventaire M-1'!$A$2:$AZ$9320,MATCH(B35,'Inventaire M-1'!$A:$A,0)-1,MATCH("Cours EUR",'Inventaire M-1'!#REF!,0))),"Buy",INDEX('Inventaire M-1'!$A$2:$AZ$9320,MATCH(B35,'Inventaire M-1'!$A:$A,0)-1,MATCH("Cours EUR",'Inventaire M-1'!#REF!,0))))</f>
        <v>#REF!</v>
      </c>
      <c r="G35" s="175"/>
      <c r="H35" s="156" t="e">
        <f>IF(B35="-","",INDEX('Inventaire M'!$A$2:$AW$9305,MATCH(B35,'Inventaire M'!$A:$A,0)-1,MATCH("quantite",'Inventaire M'!#REF!,0)))</f>
        <v>#REF!</v>
      </c>
      <c r="I35" s="156" t="e">
        <f>IF(C35="-","",IF(ISERROR(INDEX('Inventaire M-1'!$A$2:$AZ$9320,MATCH(B35,'Inventaire M-1'!$A:$A,0)-1,MATCH("quantite",'Inventaire M-1'!#REF!,0))),"Buy",INDEX('Inventaire M-1'!$A$2:$AZ$9320,MATCH(B35,'Inventaire M-1'!$A:$A,0)-1,MATCH("quantite",'Inventaire M-1'!#REF!,0))))</f>
        <v>#REF!</v>
      </c>
      <c r="J35" s="175"/>
      <c r="K35" s="155" t="e">
        <f>IF(B35="-","",INDEX('Inventaire M'!$A$2:$AW$9305,MATCH(B35,'Inventaire M'!$A:$A,0)-1,MATCH("poids",'Inventaire M'!#REF!,0)))</f>
        <v>#REF!</v>
      </c>
      <c r="L35" s="155" t="e">
        <f>IF(B35="-","",IF(ISERROR(INDEX('Inventaire M-1'!$A$2:$AZ$9320,MATCH(B35,'Inventaire M-1'!$A:$A,0)-1,MATCH("poids",'Inventaire M-1'!#REF!,0))),"Buy",INDEX('Inventaire M-1'!$A$2:$AZ$9320,MATCH(B35,'Inventaire M-1'!$A:$A,0)-1,MATCH("poids",'Inventaire M-1'!#REF!,0))))</f>
        <v>#REF!</v>
      </c>
      <c r="M35" s="175"/>
      <c r="N35" s="157" t="str">
        <f t="shared" si="0"/>
        <v>0</v>
      </c>
      <c r="O35" s="98" t="str">
        <f t="shared" si="1"/>
        <v/>
      </c>
      <c r="P35" s="80" t="e">
        <f t="shared" si="2"/>
        <v>#REF!</v>
      </c>
      <c r="Q35" s="75">
        <v>1.0999999999999999E-9</v>
      </c>
      <c r="R35" s="175" t="e">
        <f>IF(OR('Inventaire M-1'!#REF!="Dispo/Liquidité Investie",'Inventaire M-1'!#REF!="Option/Future",'Inventaire M-1'!#REF!="TCN",'Inventaire M-1'!#REF!=""),"-",'Inventaire M-1'!#REF!)</f>
        <v>#REF!</v>
      </c>
      <c r="S35" s="175" t="e">
        <f>IF(OR('Inventaire M-1'!#REF!="Dispo/Liquidité Investie",'Inventaire M-1'!#REF!="Option/Future",'Inventaire M-1'!#REF!="TCN",'Inventaire M-1'!#REF!=""),"-",'Inventaire M-1'!#REF!)</f>
        <v>#REF!</v>
      </c>
      <c r="T35" s="175"/>
      <c r="U35" s="175" t="e">
        <f>IF(R35="-","",INDEX('Inventaire M-1'!$A$2:$AG$9334,MATCH(R35,'Inventaire M-1'!$A:$A,0)-1,MATCH("Cours EUR",'Inventaire M-1'!#REF!,0)))</f>
        <v>#REF!</v>
      </c>
      <c r="V35" s="175" t="e">
        <f>IF(R35="-","",IF(ISERROR(INDEX('Inventaire M'!$A$2:$AD$9319,MATCH(R35,'Inventaire M'!$A:$A,0)-1,MATCH("Cours EUR",'Inventaire M'!#REF!,0))),"Sell",INDEX('Inventaire M'!$A$2:$AD$9319,MATCH(R35,'Inventaire M'!$A:$A,0)-1,MATCH("Cours EUR",'Inventaire M'!#REF!,0))))</f>
        <v>#REF!</v>
      </c>
      <c r="W35" s="175"/>
      <c r="X35" s="156" t="e">
        <f>IF(R35="-","",INDEX('Inventaire M-1'!$A$2:$AG$9334,MATCH(R35,'Inventaire M-1'!$A:$A,0)-1,MATCH("quantite",'Inventaire M-1'!#REF!,0)))</f>
        <v>#REF!</v>
      </c>
      <c r="Y35" s="156" t="e">
        <f>IF(S35="-","",IF(ISERROR(INDEX('Inventaire M'!$A$2:$AD$9319,MATCH(R35,'Inventaire M'!$A:$A,0)-1,MATCH("quantite",'Inventaire M'!#REF!,0))),"Sell",INDEX('Inventaire M'!$A$2:$AD$9319,MATCH(R35,'Inventaire M'!$A:$A,0)-1,MATCH("quantite",'Inventaire M'!#REF!,0))))</f>
        <v>#REF!</v>
      </c>
      <c r="Z35" s="175"/>
      <c r="AA35" s="155" t="e">
        <f>IF(R35="-","",INDEX('Inventaire M-1'!$A$2:$AG$9334,MATCH(R35,'Inventaire M-1'!$A:$A,0)-1,MATCH("poids",'Inventaire M-1'!#REF!,0)))</f>
        <v>#REF!</v>
      </c>
      <c r="AB35" s="155" t="e">
        <f>IF(R35="-","",IF(ISERROR(INDEX('Inventaire M'!$A$2:$AD$9319,MATCH(R35,'Inventaire M'!$A:$A,0)-1,MATCH("poids",'Inventaire M'!#REF!,0))),"Sell",INDEX('Inventaire M'!$A$2:$AD$9319,MATCH(R35,'Inventaire M'!$A:$A,0)-1,MATCH("poids",'Inventaire M'!#REF!,0))))</f>
        <v>#REF!</v>
      </c>
      <c r="AC35" s="175"/>
      <c r="AD35" s="157" t="str">
        <f t="shared" si="3"/>
        <v>0</v>
      </c>
      <c r="AE35" s="98" t="str">
        <f t="shared" si="4"/>
        <v/>
      </c>
      <c r="AF35" s="80" t="e">
        <f t="shared" si="5"/>
        <v>#REF!</v>
      </c>
    </row>
    <row r="36" spans="2:32" outlineLevel="1">
      <c r="B36" s="175" t="e">
        <f>IF(OR('Inventaire M'!#REF!="Dispo/Liquidité Investie",'Inventaire M'!#REF!="Option/Future",'Inventaire M'!#REF!="TCN",'Inventaire M'!#REF!=""),"-",'Inventaire M'!#REF!)</f>
        <v>#REF!</v>
      </c>
      <c r="C36" s="175" t="e">
        <f>IF(OR('Inventaire M'!#REF!="Dispo/Liquidité Investie",'Inventaire M'!#REF!="Option/Future",'Inventaire M'!#REF!="TCN",'Inventaire M'!#REF!=""),"-",'Inventaire M'!#REF!)</f>
        <v>#REF!</v>
      </c>
      <c r="D36" s="175"/>
      <c r="E36" s="175" t="e">
        <f>IF(B36="-","",INDEX('Inventaire M'!$A$2:$AW$9305,MATCH(B36,'Inventaire M'!$A:$A,0)-1,MATCH("Cours EUR",'Inventaire M'!#REF!,0)))</f>
        <v>#REF!</v>
      </c>
      <c r="F36" s="175" t="e">
        <f>IF(B36="-","",IF(ISERROR(INDEX('Inventaire M-1'!$A$2:$AZ$9320,MATCH(B36,'Inventaire M-1'!$A:$A,0)-1,MATCH("Cours EUR",'Inventaire M-1'!#REF!,0))),"Buy",INDEX('Inventaire M-1'!$A$2:$AZ$9320,MATCH(B36,'Inventaire M-1'!$A:$A,0)-1,MATCH("Cours EUR",'Inventaire M-1'!#REF!,0))))</f>
        <v>#REF!</v>
      </c>
      <c r="G36" s="175"/>
      <c r="H36" s="156" t="e">
        <f>IF(B36="-","",INDEX('Inventaire M'!$A$2:$AW$9305,MATCH(B36,'Inventaire M'!$A:$A,0)-1,MATCH("quantite",'Inventaire M'!#REF!,0)))</f>
        <v>#REF!</v>
      </c>
      <c r="I36" s="156" t="e">
        <f>IF(C36="-","",IF(ISERROR(INDEX('Inventaire M-1'!$A$2:$AZ$9320,MATCH(B36,'Inventaire M-1'!$A:$A,0)-1,MATCH("quantite",'Inventaire M-1'!#REF!,0))),"Buy",INDEX('Inventaire M-1'!$A$2:$AZ$9320,MATCH(B36,'Inventaire M-1'!$A:$A,0)-1,MATCH("quantite",'Inventaire M-1'!#REF!,0))))</f>
        <v>#REF!</v>
      </c>
      <c r="J36" s="175"/>
      <c r="K36" s="155" t="e">
        <f>IF(B36="-","",INDEX('Inventaire M'!$A$2:$AW$9305,MATCH(B36,'Inventaire M'!$A:$A,0)-1,MATCH("poids",'Inventaire M'!#REF!,0)))</f>
        <v>#REF!</v>
      </c>
      <c r="L36" s="155" t="e">
        <f>IF(B36="-","",IF(ISERROR(INDEX('Inventaire M-1'!$A$2:$AZ$9320,MATCH(B36,'Inventaire M-1'!$A:$A,0)-1,MATCH("poids",'Inventaire M-1'!#REF!,0))),"Buy",INDEX('Inventaire M-1'!$A$2:$AZ$9320,MATCH(B36,'Inventaire M-1'!$A:$A,0)-1,MATCH("poids",'Inventaire M-1'!#REF!,0))))</f>
        <v>#REF!</v>
      </c>
      <c r="M36" s="175"/>
      <c r="N36" s="157" t="str">
        <f t="shared" si="0"/>
        <v>0</v>
      </c>
      <c r="O36" s="98" t="str">
        <f t="shared" si="1"/>
        <v/>
      </c>
      <c r="P36" s="80" t="e">
        <f t="shared" si="2"/>
        <v>#REF!</v>
      </c>
      <c r="Q36" s="75">
        <v>1.2E-9</v>
      </c>
      <c r="R36" s="175" t="e">
        <f>IF(OR('Inventaire M-1'!#REF!="Dispo/Liquidité Investie",'Inventaire M-1'!#REF!="Option/Future",'Inventaire M-1'!#REF!="TCN",'Inventaire M-1'!#REF!=""),"-",'Inventaire M-1'!#REF!)</f>
        <v>#REF!</v>
      </c>
      <c r="S36" s="175" t="e">
        <f>IF(OR('Inventaire M-1'!#REF!="Dispo/Liquidité Investie",'Inventaire M-1'!#REF!="Option/Future",'Inventaire M-1'!#REF!="TCN",'Inventaire M-1'!#REF!=""),"-",'Inventaire M-1'!#REF!)</f>
        <v>#REF!</v>
      </c>
      <c r="T36" s="175"/>
      <c r="U36" s="175" t="e">
        <f>IF(R36="-","",INDEX('Inventaire M-1'!$A$2:$AG$9334,MATCH(R36,'Inventaire M-1'!$A:$A,0)-1,MATCH("Cours EUR",'Inventaire M-1'!#REF!,0)))</f>
        <v>#REF!</v>
      </c>
      <c r="V36" s="175" t="e">
        <f>IF(R36="-","",IF(ISERROR(INDEX('Inventaire M'!$A$2:$AD$9319,MATCH(R36,'Inventaire M'!$A:$A,0)-1,MATCH("Cours EUR",'Inventaire M'!#REF!,0))),"Sell",INDEX('Inventaire M'!$A$2:$AD$9319,MATCH(R36,'Inventaire M'!$A:$A,0)-1,MATCH("Cours EUR",'Inventaire M'!#REF!,0))))</f>
        <v>#REF!</v>
      </c>
      <c r="W36" s="175"/>
      <c r="X36" s="156" t="e">
        <f>IF(R36="-","",INDEX('Inventaire M-1'!$A$2:$AG$9334,MATCH(R36,'Inventaire M-1'!$A:$A,0)-1,MATCH("quantite",'Inventaire M-1'!#REF!,0)))</f>
        <v>#REF!</v>
      </c>
      <c r="Y36" s="156" t="e">
        <f>IF(S36="-","",IF(ISERROR(INDEX('Inventaire M'!$A$2:$AD$9319,MATCH(R36,'Inventaire M'!$A:$A,0)-1,MATCH("quantite",'Inventaire M'!#REF!,0))),"Sell",INDEX('Inventaire M'!$A$2:$AD$9319,MATCH(R36,'Inventaire M'!$A:$A,0)-1,MATCH("quantite",'Inventaire M'!#REF!,0))))</f>
        <v>#REF!</v>
      </c>
      <c r="Z36" s="175"/>
      <c r="AA36" s="155" t="e">
        <f>IF(R36="-","",INDEX('Inventaire M-1'!$A$2:$AG$9334,MATCH(R36,'Inventaire M-1'!$A:$A,0)-1,MATCH("poids",'Inventaire M-1'!#REF!,0)))</f>
        <v>#REF!</v>
      </c>
      <c r="AB36" s="155" t="e">
        <f>IF(R36="-","",IF(ISERROR(INDEX('Inventaire M'!$A$2:$AD$9319,MATCH(R36,'Inventaire M'!$A:$A,0)-1,MATCH("poids",'Inventaire M'!#REF!,0))),"Sell",INDEX('Inventaire M'!$A$2:$AD$9319,MATCH(R36,'Inventaire M'!$A:$A,0)-1,MATCH("poids",'Inventaire M'!#REF!,0))))</f>
        <v>#REF!</v>
      </c>
      <c r="AC36" s="175"/>
      <c r="AD36" s="157" t="str">
        <f t="shared" si="3"/>
        <v>0</v>
      </c>
      <c r="AE36" s="98" t="str">
        <f t="shared" si="4"/>
        <v/>
      </c>
      <c r="AF36" s="80" t="e">
        <f t="shared" si="5"/>
        <v>#REF!</v>
      </c>
    </row>
    <row r="37" spans="2:32" outlineLevel="1">
      <c r="B37" s="175" t="e">
        <f>IF(OR('Inventaire M'!#REF!="Dispo/Liquidité Investie",'Inventaire M'!#REF!="Option/Future",'Inventaire M'!#REF!="TCN",'Inventaire M'!#REF!=""),"-",'Inventaire M'!#REF!)</f>
        <v>#REF!</v>
      </c>
      <c r="C37" s="175" t="e">
        <f>IF(OR('Inventaire M'!#REF!="Dispo/Liquidité Investie",'Inventaire M'!#REF!="Option/Future",'Inventaire M'!#REF!="TCN",'Inventaire M'!#REF!=""),"-",'Inventaire M'!#REF!)</f>
        <v>#REF!</v>
      </c>
      <c r="D37" s="175"/>
      <c r="E37" s="175" t="e">
        <f>IF(B37="-","",INDEX('Inventaire M'!$A$2:$AW$9305,MATCH(B37,'Inventaire M'!$A:$A,0)-1,MATCH("Cours EUR",'Inventaire M'!#REF!,0)))</f>
        <v>#REF!</v>
      </c>
      <c r="F37" s="175" t="e">
        <f>IF(B37="-","",IF(ISERROR(INDEX('Inventaire M-1'!$A$2:$AZ$9320,MATCH(B37,'Inventaire M-1'!$A:$A,0)-1,MATCH("Cours EUR",'Inventaire M-1'!#REF!,0))),"Buy",INDEX('Inventaire M-1'!$A$2:$AZ$9320,MATCH(B37,'Inventaire M-1'!$A:$A,0)-1,MATCH("Cours EUR",'Inventaire M-1'!#REF!,0))))</f>
        <v>#REF!</v>
      </c>
      <c r="G37" s="175"/>
      <c r="H37" s="156" t="e">
        <f>IF(B37="-","",INDEX('Inventaire M'!$A$2:$AW$9305,MATCH(B37,'Inventaire M'!$A:$A,0)-1,MATCH("quantite",'Inventaire M'!#REF!,0)))</f>
        <v>#REF!</v>
      </c>
      <c r="I37" s="156" t="e">
        <f>IF(C37="-","",IF(ISERROR(INDEX('Inventaire M-1'!$A$2:$AZ$9320,MATCH(B37,'Inventaire M-1'!$A:$A,0)-1,MATCH("quantite",'Inventaire M-1'!#REF!,0))),"Buy",INDEX('Inventaire M-1'!$A$2:$AZ$9320,MATCH(B37,'Inventaire M-1'!$A:$A,0)-1,MATCH("quantite",'Inventaire M-1'!#REF!,0))))</f>
        <v>#REF!</v>
      </c>
      <c r="J37" s="175"/>
      <c r="K37" s="155" t="e">
        <f>IF(B37="-","",INDEX('Inventaire M'!$A$2:$AW$9305,MATCH(B37,'Inventaire M'!$A:$A,0)-1,MATCH("poids",'Inventaire M'!#REF!,0)))</f>
        <v>#REF!</v>
      </c>
      <c r="L37" s="155" t="e">
        <f>IF(B37="-","",IF(ISERROR(INDEX('Inventaire M-1'!$A$2:$AZ$9320,MATCH(B37,'Inventaire M-1'!$A:$A,0)-1,MATCH("poids",'Inventaire M-1'!#REF!,0))),"Buy",INDEX('Inventaire M-1'!$A$2:$AZ$9320,MATCH(B37,'Inventaire M-1'!$A:$A,0)-1,MATCH("poids",'Inventaire M-1'!#REF!,0))))</f>
        <v>#REF!</v>
      </c>
      <c r="M37" s="175"/>
      <c r="N37" s="157" t="str">
        <f t="shared" si="0"/>
        <v>0</v>
      </c>
      <c r="O37" s="98" t="str">
        <f t="shared" si="1"/>
        <v/>
      </c>
      <c r="P37" s="80" t="e">
        <f t="shared" si="2"/>
        <v>#REF!</v>
      </c>
      <c r="Q37" s="75">
        <v>1.3000000000000001E-9</v>
      </c>
      <c r="R37" s="175" t="e">
        <f>IF(OR('Inventaire M-1'!#REF!="Dispo/Liquidité Investie",'Inventaire M-1'!#REF!="Option/Future",'Inventaire M-1'!#REF!="TCN",'Inventaire M-1'!#REF!=""),"-",'Inventaire M-1'!#REF!)</f>
        <v>#REF!</v>
      </c>
      <c r="S37" s="175" t="e">
        <f>IF(OR('Inventaire M-1'!#REF!="Dispo/Liquidité Investie",'Inventaire M-1'!#REF!="Option/Future",'Inventaire M-1'!#REF!="TCN",'Inventaire M-1'!#REF!=""),"-",'Inventaire M-1'!#REF!)</f>
        <v>#REF!</v>
      </c>
      <c r="T37" s="175"/>
      <c r="U37" s="175" t="e">
        <f>IF(R37="-","",INDEX('Inventaire M-1'!$A$2:$AG$9334,MATCH(R37,'Inventaire M-1'!$A:$A,0)-1,MATCH("Cours EUR",'Inventaire M-1'!#REF!,0)))</f>
        <v>#REF!</v>
      </c>
      <c r="V37" s="175" t="e">
        <f>IF(R37="-","",IF(ISERROR(INDEX('Inventaire M'!$A$2:$AD$9319,MATCH(R37,'Inventaire M'!$A:$A,0)-1,MATCH("Cours EUR",'Inventaire M'!#REF!,0))),"Sell",INDEX('Inventaire M'!$A$2:$AD$9319,MATCH(R37,'Inventaire M'!$A:$A,0)-1,MATCH("Cours EUR",'Inventaire M'!#REF!,0))))</f>
        <v>#REF!</v>
      </c>
      <c r="W37" s="175"/>
      <c r="X37" s="156" t="e">
        <f>IF(R37="-","",INDEX('Inventaire M-1'!$A$2:$AG$9334,MATCH(R37,'Inventaire M-1'!$A:$A,0)-1,MATCH("quantite",'Inventaire M-1'!#REF!,0)))</f>
        <v>#REF!</v>
      </c>
      <c r="Y37" s="156" t="e">
        <f>IF(S37="-","",IF(ISERROR(INDEX('Inventaire M'!$A$2:$AD$9319,MATCH(R37,'Inventaire M'!$A:$A,0)-1,MATCH("quantite",'Inventaire M'!#REF!,0))),"Sell",INDEX('Inventaire M'!$A$2:$AD$9319,MATCH(R37,'Inventaire M'!$A:$A,0)-1,MATCH("quantite",'Inventaire M'!#REF!,0))))</f>
        <v>#REF!</v>
      </c>
      <c r="Z37" s="175"/>
      <c r="AA37" s="155" t="e">
        <f>IF(R37="-","",INDEX('Inventaire M-1'!$A$2:$AG$9334,MATCH(R37,'Inventaire M-1'!$A:$A,0)-1,MATCH("poids",'Inventaire M-1'!#REF!,0)))</f>
        <v>#REF!</v>
      </c>
      <c r="AB37" s="155" t="e">
        <f>IF(R37="-","",IF(ISERROR(INDEX('Inventaire M'!$A$2:$AD$9319,MATCH(R37,'Inventaire M'!$A:$A,0)-1,MATCH("poids",'Inventaire M'!#REF!,0))),"Sell",INDEX('Inventaire M'!$A$2:$AD$9319,MATCH(R37,'Inventaire M'!$A:$A,0)-1,MATCH("poids",'Inventaire M'!#REF!,0))))</f>
        <v>#REF!</v>
      </c>
      <c r="AC37" s="175"/>
      <c r="AD37" s="157" t="str">
        <f t="shared" si="3"/>
        <v>0</v>
      </c>
      <c r="AE37" s="98" t="str">
        <f t="shared" si="4"/>
        <v/>
      </c>
      <c r="AF37" s="80" t="e">
        <f t="shared" si="5"/>
        <v>#REF!</v>
      </c>
    </row>
    <row r="38" spans="2:32" outlineLevel="1">
      <c r="B38" s="175" t="e">
        <f>IF(OR('Inventaire M'!#REF!="Dispo/Liquidité Investie",'Inventaire M'!#REF!="Option/Future",'Inventaire M'!#REF!="TCN",'Inventaire M'!#REF!=""),"-",'Inventaire M'!#REF!)</f>
        <v>#REF!</v>
      </c>
      <c r="C38" s="175" t="e">
        <f>IF(OR('Inventaire M'!#REF!="Dispo/Liquidité Investie",'Inventaire M'!#REF!="Option/Future",'Inventaire M'!#REF!="TCN",'Inventaire M'!#REF!=""),"-",'Inventaire M'!#REF!)</f>
        <v>#REF!</v>
      </c>
      <c r="D38" s="175"/>
      <c r="E38" s="175" t="e">
        <f>IF(B38="-","",INDEX('Inventaire M'!$A$2:$AW$9305,MATCH(B38,'Inventaire M'!$A:$A,0)-1,MATCH("Cours EUR",'Inventaire M'!#REF!,0)))</f>
        <v>#REF!</v>
      </c>
      <c r="F38" s="175" t="e">
        <f>IF(B38="-","",IF(ISERROR(INDEX('Inventaire M-1'!$A$2:$AZ$9320,MATCH(B38,'Inventaire M-1'!$A:$A,0)-1,MATCH("Cours EUR",'Inventaire M-1'!#REF!,0))),"Buy",INDEX('Inventaire M-1'!$A$2:$AZ$9320,MATCH(B38,'Inventaire M-1'!$A:$A,0)-1,MATCH("Cours EUR",'Inventaire M-1'!#REF!,0))))</f>
        <v>#REF!</v>
      </c>
      <c r="G38" s="175"/>
      <c r="H38" s="156" t="e">
        <f>IF(B38="-","",INDEX('Inventaire M'!$A$2:$AW$9305,MATCH(B38,'Inventaire M'!$A:$A,0)-1,MATCH("quantite",'Inventaire M'!#REF!,0)))</f>
        <v>#REF!</v>
      </c>
      <c r="I38" s="156" t="e">
        <f>IF(C38="-","",IF(ISERROR(INDEX('Inventaire M-1'!$A$2:$AZ$9320,MATCH(B38,'Inventaire M-1'!$A:$A,0)-1,MATCH("quantite",'Inventaire M-1'!#REF!,0))),"Buy",INDEX('Inventaire M-1'!$A$2:$AZ$9320,MATCH(B38,'Inventaire M-1'!$A:$A,0)-1,MATCH("quantite",'Inventaire M-1'!#REF!,0))))</f>
        <v>#REF!</v>
      </c>
      <c r="J38" s="175"/>
      <c r="K38" s="155" t="e">
        <f>IF(B38="-","",INDEX('Inventaire M'!$A$2:$AW$9305,MATCH(B38,'Inventaire M'!$A:$A,0)-1,MATCH("poids",'Inventaire M'!#REF!,0)))</f>
        <v>#REF!</v>
      </c>
      <c r="L38" s="155" t="e">
        <f>IF(B38="-","",IF(ISERROR(INDEX('Inventaire M-1'!$A$2:$AZ$9320,MATCH(B38,'Inventaire M-1'!$A:$A,0)-1,MATCH("poids",'Inventaire M-1'!#REF!,0))),"Buy",INDEX('Inventaire M-1'!$A$2:$AZ$9320,MATCH(B38,'Inventaire M-1'!$A:$A,0)-1,MATCH("poids",'Inventaire M-1'!#REF!,0))))</f>
        <v>#REF!</v>
      </c>
      <c r="M38" s="175"/>
      <c r="N38" s="157" t="str">
        <f t="shared" si="0"/>
        <v>0</v>
      </c>
      <c r="O38" s="98" t="str">
        <f t="shared" si="1"/>
        <v/>
      </c>
      <c r="P38" s="80" t="e">
        <f t="shared" si="2"/>
        <v>#REF!</v>
      </c>
      <c r="Q38" s="75">
        <v>1.3999999999999999E-9</v>
      </c>
      <c r="R38" s="175" t="e">
        <f>IF(OR('Inventaire M-1'!#REF!="Dispo/Liquidité Investie",'Inventaire M-1'!#REF!="Option/Future",'Inventaire M-1'!#REF!="TCN",'Inventaire M-1'!#REF!=""),"-",'Inventaire M-1'!#REF!)</f>
        <v>#REF!</v>
      </c>
      <c r="S38" s="175" t="e">
        <f>IF(OR('Inventaire M-1'!#REF!="Dispo/Liquidité Investie",'Inventaire M-1'!#REF!="Option/Future",'Inventaire M-1'!#REF!="TCN",'Inventaire M-1'!#REF!=""),"-",'Inventaire M-1'!#REF!)</f>
        <v>#REF!</v>
      </c>
      <c r="T38" s="175"/>
      <c r="U38" s="175" t="e">
        <f>IF(R38="-","",INDEX('Inventaire M-1'!$A$2:$AG$9334,MATCH(R38,'Inventaire M-1'!$A:$A,0)-1,MATCH("Cours EUR",'Inventaire M-1'!#REF!,0)))</f>
        <v>#REF!</v>
      </c>
      <c r="V38" s="175" t="e">
        <f>IF(R38="-","",IF(ISERROR(INDEX('Inventaire M'!$A$2:$AD$9319,MATCH(R38,'Inventaire M'!$A:$A,0)-1,MATCH("Cours EUR",'Inventaire M'!#REF!,0))),"Sell",INDEX('Inventaire M'!$A$2:$AD$9319,MATCH(R38,'Inventaire M'!$A:$A,0)-1,MATCH("Cours EUR",'Inventaire M'!#REF!,0))))</f>
        <v>#REF!</v>
      </c>
      <c r="W38" s="175"/>
      <c r="X38" s="156" t="e">
        <f>IF(R38="-","",INDEX('Inventaire M-1'!$A$2:$AG$9334,MATCH(R38,'Inventaire M-1'!$A:$A,0)-1,MATCH("quantite",'Inventaire M-1'!#REF!,0)))</f>
        <v>#REF!</v>
      </c>
      <c r="Y38" s="156" t="e">
        <f>IF(S38="-","",IF(ISERROR(INDEX('Inventaire M'!$A$2:$AD$9319,MATCH(R38,'Inventaire M'!$A:$A,0)-1,MATCH("quantite",'Inventaire M'!#REF!,0))),"Sell",INDEX('Inventaire M'!$A$2:$AD$9319,MATCH(R38,'Inventaire M'!$A:$A,0)-1,MATCH("quantite",'Inventaire M'!#REF!,0))))</f>
        <v>#REF!</v>
      </c>
      <c r="Z38" s="175"/>
      <c r="AA38" s="155" t="e">
        <f>IF(R38="-","",INDEX('Inventaire M-1'!$A$2:$AG$9334,MATCH(R38,'Inventaire M-1'!$A:$A,0)-1,MATCH("poids",'Inventaire M-1'!#REF!,0)))</f>
        <v>#REF!</v>
      </c>
      <c r="AB38" s="155" t="e">
        <f>IF(R38="-","",IF(ISERROR(INDEX('Inventaire M'!$A$2:$AD$9319,MATCH(R38,'Inventaire M'!$A:$A,0)-1,MATCH("poids",'Inventaire M'!#REF!,0))),"Sell",INDEX('Inventaire M'!$A$2:$AD$9319,MATCH(R38,'Inventaire M'!$A:$A,0)-1,MATCH("poids",'Inventaire M'!#REF!,0))))</f>
        <v>#REF!</v>
      </c>
      <c r="AC38" s="175"/>
      <c r="AD38" s="157" t="str">
        <f t="shared" si="3"/>
        <v>0</v>
      </c>
      <c r="AE38" s="98" t="str">
        <f t="shared" si="4"/>
        <v/>
      </c>
      <c r="AF38" s="80" t="e">
        <f t="shared" si="5"/>
        <v>#REF!</v>
      </c>
    </row>
    <row r="39" spans="2:32" outlineLevel="1">
      <c r="B39" s="175" t="e">
        <f>IF(OR('Inventaire M'!#REF!="Dispo/Liquidité Investie",'Inventaire M'!#REF!="Option/Future",'Inventaire M'!#REF!="TCN",'Inventaire M'!#REF!=""),"-",'Inventaire M'!#REF!)</f>
        <v>#REF!</v>
      </c>
      <c r="C39" s="175" t="e">
        <f>IF(OR('Inventaire M'!#REF!="Dispo/Liquidité Investie",'Inventaire M'!#REF!="Option/Future",'Inventaire M'!#REF!="TCN",'Inventaire M'!#REF!=""),"-",'Inventaire M'!#REF!)</f>
        <v>#REF!</v>
      </c>
      <c r="D39" s="175"/>
      <c r="E39" s="175" t="e">
        <f>IF(B39="-","",INDEX('Inventaire M'!$A$2:$AW$9305,MATCH(B39,'Inventaire M'!$A:$A,0)-1,MATCH("Cours EUR",'Inventaire M'!#REF!,0)))</f>
        <v>#REF!</v>
      </c>
      <c r="F39" s="175" t="e">
        <f>IF(B39="-","",IF(ISERROR(INDEX('Inventaire M-1'!$A$2:$AZ$9320,MATCH(B39,'Inventaire M-1'!$A:$A,0)-1,MATCH("Cours EUR",'Inventaire M-1'!#REF!,0))),"Buy",INDEX('Inventaire M-1'!$A$2:$AZ$9320,MATCH(B39,'Inventaire M-1'!$A:$A,0)-1,MATCH("Cours EUR",'Inventaire M-1'!#REF!,0))))</f>
        <v>#REF!</v>
      </c>
      <c r="G39" s="175"/>
      <c r="H39" s="156" t="e">
        <f>IF(B39="-","",INDEX('Inventaire M'!$A$2:$AW$9305,MATCH(B39,'Inventaire M'!$A:$A,0)-1,MATCH("quantite",'Inventaire M'!#REF!,0)))</f>
        <v>#REF!</v>
      </c>
      <c r="I39" s="156" t="e">
        <f>IF(C39="-","",IF(ISERROR(INDEX('Inventaire M-1'!$A$2:$AZ$9320,MATCH(B39,'Inventaire M-1'!$A:$A,0)-1,MATCH("quantite",'Inventaire M-1'!#REF!,0))),"Buy",INDEX('Inventaire M-1'!$A$2:$AZ$9320,MATCH(B39,'Inventaire M-1'!$A:$A,0)-1,MATCH("quantite",'Inventaire M-1'!#REF!,0))))</f>
        <v>#REF!</v>
      </c>
      <c r="J39" s="175"/>
      <c r="K39" s="155" t="e">
        <f>IF(B39="-","",INDEX('Inventaire M'!$A$2:$AW$9305,MATCH(B39,'Inventaire M'!$A:$A,0)-1,MATCH("poids",'Inventaire M'!#REF!,0)))</f>
        <v>#REF!</v>
      </c>
      <c r="L39" s="155" t="e">
        <f>IF(B39="-","",IF(ISERROR(INDEX('Inventaire M-1'!$A$2:$AZ$9320,MATCH(B39,'Inventaire M-1'!$A:$A,0)-1,MATCH("poids",'Inventaire M-1'!#REF!,0))),"Buy",INDEX('Inventaire M-1'!$A$2:$AZ$9320,MATCH(B39,'Inventaire M-1'!$A:$A,0)-1,MATCH("poids",'Inventaire M-1'!#REF!,0))))</f>
        <v>#REF!</v>
      </c>
      <c r="M39" s="175"/>
      <c r="N39" s="157" t="str">
        <f t="shared" si="0"/>
        <v>0</v>
      </c>
      <c r="O39" s="98" t="str">
        <f t="shared" si="1"/>
        <v/>
      </c>
      <c r="P39" s="80" t="e">
        <f t="shared" si="2"/>
        <v>#REF!</v>
      </c>
      <c r="Q39" s="75">
        <v>1.5E-9</v>
      </c>
      <c r="R39" s="175" t="e">
        <f>IF(OR('Inventaire M-1'!#REF!="Dispo/Liquidité Investie",'Inventaire M-1'!#REF!="Option/Future",'Inventaire M-1'!#REF!="TCN",'Inventaire M-1'!#REF!=""),"-",'Inventaire M-1'!#REF!)</f>
        <v>#REF!</v>
      </c>
      <c r="S39" s="175" t="e">
        <f>IF(OR('Inventaire M-1'!#REF!="Dispo/Liquidité Investie",'Inventaire M-1'!#REF!="Option/Future",'Inventaire M-1'!#REF!="TCN",'Inventaire M-1'!#REF!=""),"-",'Inventaire M-1'!#REF!)</f>
        <v>#REF!</v>
      </c>
      <c r="T39" s="175"/>
      <c r="U39" s="175" t="e">
        <f>IF(R39="-","",INDEX('Inventaire M-1'!$A$2:$AG$9334,MATCH(R39,'Inventaire M-1'!$A:$A,0)-1,MATCH("Cours EUR",'Inventaire M-1'!#REF!,0)))</f>
        <v>#REF!</v>
      </c>
      <c r="V39" s="175" t="e">
        <f>IF(R39="-","",IF(ISERROR(INDEX('Inventaire M'!$A$2:$AD$9319,MATCH(R39,'Inventaire M'!$A:$A,0)-1,MATCH("Cours EUR",'Inventaire M'!#REF!,0))),"Sell",INDEX('Inventaire M'!$A$2:$AD$9319,MATCH(R39,'Inventaire M'!$A:$A,0)-1,MATCH("Cours EUR",'Inventaire M'!#REF!,0))))</f>
        <v>#REF!</v>
      </c>
      <c r="W39" s="175"/>
      <c r="X39" s="156" t="e">
        <f>IF(R39="-","",INDEX('Inventaire M-1'!$A$2:$AG$9334,MATCH(R39,'Inventaire M-1'!$A:$A,0)-1,MATCH("quantite",'Inventaire M-1'!#REF!,0)))</f>
        <v>#REF!</v>
      </c>
      <c r="Y39" s="156" t="e">
        <f>IF(S39="-","",IF(ISERROR(INDEX('Inventaire M'!$A$2:$AD$9319,MATCH(R39,'Inventaire M'!$A:$A,0)-1,MATCH("quantite",'Inventaire M'!#REF!,0))),"Sell",INDEX('Inventaire M'!$A$2:$AD$9319,MATCH(R39,'Inventaire M'!$A:$A,0)-1,MATCH("quantite",'Inventaire M'!#REF!,0))))</f>
        <v>#REF!</v>
      </c>
      <c r="Z39" s="175"/>
      <c r="AA39" s="155" t="e">
        <f>IF(R39="-","",INDEX('Inventaire M-1'!$A$2:$AG$9334,MATCH(R39,'Inventaire M-1'!$A:$A,0)-1,MATCH("poids",'Inventaire M-1'!#REF!,0)))</f>
        <v>#REF!</v>
      </c>
      <c r="AB39" s="155" t="e">
        <f>IF(R39="-","",IF(ISERROR(INDEX('Inventaire M'!$A$2:$AD$9319,MATCH(R39,'Inventaire M'!$A:$A,0)-1,MATCH("poids",'Inventaire M'!#REF!,0))),"Sell",INDEX('Inventaire M'!$A$2:$AD$9319,MATCH(R39,'Inventaire M'!$A:$A,0)-1,MATCH("poids",'Inventaire M'!#REF!,0))))</f>
        <v>#REF!</v>
      </c>
      <c r="AC39" s="175"/>
      <c r="AD39" s="157" t="str">
        <f t="shared" si="3"/>
        <v>0</v>
      </c>
      <c r="AE39" s="98" t="str">
        <f t="shared" si="4"/>
        <v/>
      </c>
      <c r="AF39" s="80" t="e">
        <f t="shared" si="5"/>
        <v>#REF!</v>
      </c>
    </row>
    <row r="40" spans="2:32" outlineLevel="1">
      <c r="B40" s="175" t="e">
        <f>IF(OR('Inventaire M'!#REF!="Dispo/Liquidité Investie",'Inventaire M'!#REF!="Option/Future",'Inventaire M'!#REF!="TCN",'Inventaire M'!#REF!=""),"-",'Inventaire M'!#REF!)</f>
        <v>#REF!</v>
      </c>
      <c r="C40" s="175" t="e">
        <f>IF(OR('Inventaire M'!#REF!="Dispo/Liquidité Investie",'Inventaire M'!#REF!="Option/Future",'Inventaire M'!#REF!="TCN",'Inventaire M'!#REF!=""),"-",'Inventaire M'!#REF!)</f>
        <v>#REF!</v>
      </c>
      <c r="D40" s="175"/>
      <c r="E40" s="175" t="e">
        <f>IF(B40="-","",INDEX('Inventaire M'!$A$2:$AW$9305,MATCH(B40,'Inventaire M'!$A:$A,0)-1,MATCH("Cours EUR",'Inventaire M'!#REF!,0)))</f>
        <v>#REF!</v>
      </c>
      <c r="F40" s="175" t="e">
        <f>IF(B40="-","",IF(ISERROR(INDEX('Inventaire M-1'!$A$2:$AZ$9320,MATCH(B40,'Inventaire M-1'!$A:$A,0)-1,MATCH("Cours EUR",'Inventaire M-1'!#REF!,0))),"Buy",INDEX('Inventaire M-1'!$A$2:$AZ$9320,MATCH(B40,'Inventaire M-1'!$A:$A,0)-1,MATCH("Cours EUR",'Inventaire M-1'!#REF!,0))))</f>
        <v>#REF!</v>
      </c>
      <c r="G40" s="175"/>
      <c r="H40" s="156" t="e">
        <f>IF(B40="-","",INDEX('Inventaire M'!$A$2:$AW$9305,MATCH(B40,'Inventaire M'!$A:$A,0)-1,MATCH("quantite",'Inventaire M'!#REF!,0)))</f>
        <v>#REF!</v>
      </c>
      <c r="I40" s="156" t="e">
        <f>IF(C40="-","",IF(ISERROR(INDEX('Inventaire M-1'!$A$2:$AZ$9320,MATCH(B40,'Inventaire M-1'!$A:$A,0)-1,MATCH("quantite",'Inventaire M-1'!#REF!,0))),"Buy",INDEX('Inventaire M-1'!$A$2:$AZ$9320,MATCH(B40,'Inventaire M-1'!$A:$A,0)-1,MATCH("quantite",'Inventaire M-1'!#REF!,0))))</f>
        <v>#REF!</v>
      </c>
      <c r="J40" s="175"/>
      <c r="K40" s="155" t="e">
        <f>IF(B40="-","",INDEX('Inventaire M'!$A$2:$AW$9305,MATCH(B40,'Inventaire M'!$A:$A,0)-1,MATCH("poids",'Inventaire M'!#REF!,0)))</f>
        <v>#REF!</v>
      </c>
      <c r="L40" s="155" t="e">
        <f>IF(B40="-","",IF(ISERROR(INDEX('Inventaire M-1'!$A$2:$AZ$9320,MATCH(B40,'Inventaire M-1'!$A:$A,0)-1,MATCH("poids",'Inventaire M-1'!#REF!,0))),"Buy",INDEX('Inventaire M-1'!$A$2:$AZ$9320,MATCH(B40,'Inventaire M-1'!$A:$A,0)-1,MATCH("poids",'Inventaire M-1'!#REF!,0))))</f>
        <v>#REF!</v>
      </c>
      <c r="M40" s="175"/>
      <c r="N40" s="157" t="str">
        <f t="shared" si="0"/>
        <v>0</v>
      </c>
      <c r="O40" s="98" t="str">
        <f t="shared" si="1"/>
        <v/>
      </c>
      <c r="P40" s="80" t="e">
        <f t="shared" si="2"/>
        <v>#REF!</v>
      </c>
      <c r="Q40" s="75">
        <v>1.6000000000000001E-9</v>
      </c>
      <c r="R40" s="175" t="e">
        <f>IF(OR('Inventaire M-1'!#REF!="Dispo/Liquidité Investie",'Inventaire M-1'!#REF!="Option/Future",'Inventaire M-1'!#REF!="TCN",'Inventaire M-1'!#REF!=""),"-",'Inventaire M-1'!#REF!)</f>
        <v>#REF!</v>
      </c>
      <c r="S40" s="175" t="e">
        <f>IF(OR('Inventaire M-1'!#REF!="Dispo/Liquidité Investie",'Inventaire M-1'!#REF!="Option/Future",'Inventaire M-1'!#REF!="TCN",'Inventaire M-1'!#REF!=""),"-",'Inventaire M-1'!#REF!)</f>
        <v>#REF!</v>
      </c>
      <c r="T40" s="175"/>
      <c r="U40" s="175" t="e">
        <f>IF(R40="-","",INDEX('Inventaire M-1'!$A$2:$AG$9334,MATCH(R40,'Inventaire M-1'!$A:$A,0)-1,MATCH("Cours EUR",'Inventaire M-1'!#REF!,0)))</f>
        <v>#REF!</v>
      </c>
      <c r="V40" s="175" t="e">
        <f>IF(R40="-","",IF(ISERROR(INDEX('Inventaire M'!$A$2:$AD$9319,MATCH(R40,'Inventaire M'!$A:$A,0)-1,MATCH("Cours EUR",'Inventaire M'!#REF!,0))),"Sell",INDEX('Inventaire M'!$A$2:$AD$9319,MATCH(R40,'Inventaire M'!$A:$A,0)-1,MATCH("Cours EUR",'Inventaire M'!#REF!,0))))</f>
        <v>#REF!</v>
      </c>
      <c r="W40" s="175"/>
      <c r="X40" s="156" t="e">
        <f>IF(R40="-","",INDEX('Inventaire M-1'!$A$2:$AG$9334,MATCH(R40,'Inventaire M-1'!$A:$A,0)-1,MATCH("quantite",'Inventaire M-1'!#REF!,0)))</f>
        <v>#REF!</v>
      </c>
      <c r="Y40" s="156" t="e">
        <f>IF(S40="-","",IF(ISERROR(INDEX('Inventaire M'!$A$2:$AD$9319,MATCH(R40,'Inventaire M'!$A:$A,0)-1,MATCH("quantite",'Inventaire M'!#REF!,0))),"Sell",INDEX('Inventaire M'!$A$2:$AD$9319,MATCH(R40,'Inventaire M'!$A:$A,0)-1,MATCH("quantite",'Inventaire M'!#REF!,0))))</f>
        <v>#REF!</v>
      </c>
      <c r="Z40" s="175"/>
      <c r="AA40" s="155" t="e">
        <f>IF(R40="-","",INDEX('Inventaire M-1'!$A$2:$AG$9334,MATCH(R40,'Inventaire M-1'!$A:$A,0)-1,MATCH("poids",'Inventaire M-1'!#REF!,0)))</f>
        <v>#REF!</v>
      </c>
      <c r="AB40" s="155" t="e">
        <f>IF(R40="-","",IF(ISERROR(INDEX('Inventaire M'!$A$2:$AD$9319,MATCH(R40,'Inventaire M'!$A:$A,0)-1,MATCH("poids",'Inventaire M'!#REF!,0))),"Sell",INDEX('Inventaire M'!$A$2:$AD$9319,MATCH(R40,'Inventaire M'!$A:$A,0)-1,MATCH("poids",'Inventaire M'!#REF!,0))))</f>
        <v>#REF!</v>
      </c>
      <c r="AC40" s="175"/>
      <c r="AD40" s="157" t="str">
        <f t="shared" si="3"/>
        <v>0</v>
      </c>
      <c r="AE40" s="98" t="str">
        <f t="shared" si="4"/>
        <v/>
      </c>
      <c r="AF40" s="80" t="e">
        <f t="shared" si="5"/>
        <v>#REF!</v>
      </c>
    </row>
    <row r="41" spans="2:32" outlineLevel="1">
      <c r="B41" s="175" t="e">
        <f>IF(OR('Inventaire M'!#REF!="Dispo/Liquidité Investie",'Inventaire M'!#REF!="Option/Future",'Inventaire M'!#REF!="TCN",'Inventaire M'!#REF!=""),"-",'Inventaire M'!#REF!)</f>
        <v>#REF!</v>
      </c>
      <c r="C41" s="175" t="e">
        <f>IF(OR('Inventaire M'!#REF!="Dispo/Liquidité Investie",'Inventaire M'!#REF!="Option/Future",'Inventaire M'!#REF!="TCN",'Inventaire M'!#REF!=""),"-",'Inventaire M'!#REF!)</f>
        <v>#REF!</v>
      </c>
      <c r="D41" s="175"/>
      <c r="E41" s="175" t="e">
        <f>IF(B41="-","",INDEX('Inventaire M'!$A$2:$AW$9305,MATCH(B41,'Inventaire M'!$A:$A,0)-1,MATCH("Cours EUR",'Inventaire M'!#REF!,0)))</f>
        <v>#REF!</v>
      </c>
      <c r="F41" s="175" t="e">
        <f>IF(B41="-","",IF(ISERROR(INDEX('Inventaire M-1'!$A$2:$AZ$9320,MATCH(B41,'Inventaire M-1'!$A:$A,0)-1,MATCH("Cours EUR",'Inventaire M-1'!#REF!,0))),"Buy",INDEX('Inventaire M-1'!$A$2:$AZ$9320,MATCH(B41,'Inventaire M-1'!$A:$A,0)-1,MATCH("Cours EUR",'Inventaire M-1'!#REF!,0))))</f>
        <v>#REF!</v>
      </c>
      <c r="G41" s="175"/>
      <c r="H41" s="156" t="e">
        <f>IF(B41="-","",INDEX('Inventaire M'!$A$2:$AW$9305,MATCH(B41,'Inventaire M'!$A:$A,0)-1,MATCH("quantite",'Inventaire M'!#REF!,0)))</f>
        <v>#REF!</v>
      </c>
      <c r="I41" s="156" t="e">
        <f>IF(C41="-","",IF(ISERROR(INDEX('Inventaire M-1'!$A$2:$AZ$9320,MATCH(B41,'Inventaire M-1'!$A:$A,0)-1,MATCH("quantite",'Inventaire M-1'!#REF!,0))),"Buy",INDEX('Inventaire M-1'!$A$2:$AZ$9320,MATCH(B41,'Inventaire M-1'!$A:$A,0)-1,MATCH("quantite",'Inventaire M-1'!#REF!,0))))</f>
        <v>#REF!</v>
      </c>
      <c r="J41" s="175"/>
      <c r="K41" s="155" t="e">
        <f>IF(B41="-","",INDEX('Inventaire M'!$A$2:$AW$9305,MATCH(B41,'Inventaire M'!$A:$A,0)-1,MATCH("poids",'Inventaire M'!#REF!,0)))</f>
        <v>#REF!</v>
      </c>
      <c r="L41" s="155" t="e">
        <f>IF(B41="-","",IF(ISERROR(INDEX('Inventaire M-1'!$A$2:$AZ$9320,MATCH(B41,'Inventaire M-1'!$A:$A,0)-1,MATCH("poids",'Inventaire M-1'!#REF!,0))),"Buy",INDEX('Inventaire M-1'!$A$2:$AZ$9320,MATCH(B41,'Inventaire M-1'!$A:$A,0)-1,MATCH("poids",'Inventaire M-1'!#REF!,0))))</f>
        <v>#REF!</v>
      </c>
      <c r="M41" s="175"/>
      <c r="N41" s="157" t="str">
        <f t="shared" si="0"/>
        <v>0</v>
      </c>
      <c r="O41" s="98" t="str">
        <f t="shared" si="1"/>
        <v/>
      </c>
      <c r="P41" s="80" t="e">
        <f t="shared" si="2"/>
        <v>#REF!</v>
      </c>
      <c r="Q41" s="75">
        <v>1.6999999999999999E-9</v>
      </c>
      <c r="R41" s="175" t="e">
        <f>IF(OR('Inventaire M-1'!#REF!="Dispo/Liquidité Investie",'Inventaire M-1'!#REF!="Option/Future",'Inventaire M-1'!#REF!="TCN",'Inventaire M-1'!#REF!=""),"-",'Inventaire M-1'!#REF!)</f>
        <v>#REF!</v>
      </c>
      <c r="S41" s="175" t="e">
        <f>IF(OR('Inventaire M-1'!#REF!="Dispo/Liquidité Investie",'Inventaire M-1'!#REF!="Option/Future",'Inventaire M-1'!#REF!="TCN",'Inventaire M-1'!#REF!=""),"-",'Inventaire M-1'!#REF!)</f>
        <v>#REF!</v>
      </c>
      <c r="T41" s="175"/>
      <c r="U41" s="175" t="e">
        <f>IF(R41="-","",INDEX('Inventaire M-1'!$A$2:$AG$9334,MATCH(R41,'Inventaire M-1'!$A:$A,0)-1,MATCH("Cours EUR",'Inventaire M-1'!#REF!,0)))</f>
        <v>#REF!</v>
      </c>
      <c r="V41" s="175" t="e">
        <f>IF(R41="-","",IF(ISERROR(INDEX('Inventaire M'!$A$2:$AD$9319,MATCH(R41,'Inventaire M'!$A:$A,0)-1,MATCH("Cours EUR",'Inventaire M'!#REF!,0))),"Sell",INDEX('Inventaire M'!$A$2:$AD$9319,MATCH(R41,'Inventaire M'!$A:$A,0)-1,MATCH("Cours EUR",'Inventaire M'!#REF!,0))))</f>
        <v>#REF!</v>
      </c>
      <c r="W41" s="175"/>
      <c r="X41" s="156" t="e">
        <f>IF(R41="-","",INDEX('Inventaire M-1'!$A$2:$AG$9334,MATCH(R41,'Inventaire M-1'!$A:$A,0)-1,MATCH("quantite",'Inventaire M-1'!#REF!,0)))</f>
        <v>#REF!</v>
      </c>
      <c r="Y41" s="156" t="e">
        <f>IF(S41="-","",IF(ISERROR(INDEX('Inventaire M'!$A$2:$AD$9319,MATCH(R41,'Inventaire M'!$A:$A,0)-1,MATCH("quantite",'Inventaire M'!#REF!,0))),"Sell",INDEX('Inventaire M'!$A$2:$AD$9319,MATCH(R41,'Inventaire M'!$A:$A,0)-1,MATCH("quantite",'Inventaire M'!#REF!,0))))</f>
        <v>#REF!</v>
      </c>
      <c r="Z41" s="175"/>
      <c r="AA41" s="155" t="e">
        <f>IF(R41="-","",INDEX('Inventaire M-1'!$A$2:$AG$9334,MATCH(R41,'Inventaire M-1'!$A:$A,0)-1,MATCH("poids",'Inventaire M-1'!#REF!,0)))</f>
        <v>#REF!</v>
      </c>
      <c r="AB41" s="155" t="e">
        <f>IF(R41="-","",IF(ISERROR(INDEX('Inventaire M'!$A$2:$AD$9319,MATCH(R41,'Inventaire M'!$A:$A,0)-1,MATCH("poids",'Inventaire M'!#REF!,0))),"Sell",INDEX('Inventaire M'!$A$2:$AD$9319,MATCH(R41,'Inventaire M'!$A:$A,0)-1,MATCH("poids",'Inventaire M'!#REF!,0))))</f>
        <v>#REF!</v>
      </c>
      <c r="AC41" s="175"/>
      <c r="AD41" s="157" t="str">
        <f t="shared" si="3"/>
        <v>0</v>
      </c>
      <c r="AE41" s="98" t="str">
        <f t="shared" si="4"/>
        <v/>
      </c>
      <c r="AF41" s="80" t="e">
        <f t="shared" si="5"/>
        <v>#REF!</v>
      </c>
    </row>
    <row r="42" spans="2:32" outlineLevel="1">
      <c r="B42" s="175" t="e">
        <f>IF(OR('Inventaire M'!#REF!="Dispo/Liquidité Investie",'Inventaire M'!#REF!="Option/Future",'Inventaire M'!#REF!="TCN",'Inventaire M'!#REF!=""),"-",'Inventaire M'!#REF!)</f>
        <v>#REF!</v>
      </c>
      <c r="C42" s="175" t="e">
        <f>IF(OR('Inventaire M'!#REF!="Dispo/Liquidité Investie",'Inventaire M'!#REF!="Option/Future",'Inventaire M'!#REF!="TCN",'Inventaire M'!#REF!=""),"-",'Inventaire M'!#REF!)</f>
        <v>#REF!</v>
      </c>
      <c r="D42" s="175"/>
      <c r="E42" s="175" t="e">
        <f>IF(B42="-","",INDEX('Inventaire M'!$A$2:$AW$9305,MATCH(B42,'Inventaire M'!$A:$A,0)-1,MATCH("Cours EUR",'Inventaire M'!#REF!,0)))</f>
        <v>#REF!</v>
      </c>
      <c r="F42" s="175" t="e">
        <f>IF(B42="-","",IF(ISERROR(INDEX('Inventaire M-1'!$A$2:$AZ$9320,MATCH(B42,'Inventaire M-1'!$A:$A,0)-1,MATCH("Cours EUR",'Inventaire M-1'!#REF!,0))),"Buy",INDEX('Inventaire M-1'!$A$2:$AZ$9320,MATCH(B42,'Inventaire M-1'!$A:$A,0)-1,MATCH("Cours EUR",'Inventaire M-1'!#REF!,0))))</f>
        <v>#REF!</v>
      </c>
      <c r="G42" s="175"/>
      <c r="H42" s="156" t="e">
        <f>IF(B42="-","",INDEX('Inventaire M'!$A$2:$AW$9305,MATCH(B42,'Inventaire M'!$A:$A,0)-1,MATCH("quantite",'Inventaire M'!#REF!,0)))</f>
        <v>#REF!</v>
      </c>
      <c r="I42" s="156" t="e">
        <f>IF(C42="-","",IF(ISERROR(INDEX('Inventaire M-1'!$A$2:$AZ$9320,MATCH(B42,'Inventaire M-1'!$A:$A,0)-1,MATCH("quantite",'Inventaire M-1'!#REF!,0))),"Buy",INDEX('Inventaire M-1'!$A$2:$AZ$9320,MATCH(B42,'Inventaire M-1'!$A:$A,0)-1,MATCH("quantite",'Inventaire M-1'!#REF!,0))))</f>
        <v>#REF!</v>
      </c>
      <c r="J42" s="175"/>
      <c r="K42" s="155" t="e">
        <f>IF(B42="-","",INDEX('Inventaire M'!$A$2:$AW$9305,MATCH(B42,'Inventaire M'!$A:$A,0)-1,MATCH("poids",'Inventaire M'!#REF!,0)))</f>
        <v>#REF!</v>
      </c>
      <c r="L42" s="155" t="e">
        <f>IF(B42="-","",IF(ISERROR(INDEX('Inventaire M-1'!$A$2:$AZ$9320,MATCH(B42,'Inventaire M-1'!$A:$A,0)-1,MATCH("poids",'Inventaire M-1'!#REF!,0))),"Buy",INDEX('Inventaire M-1'!$A$2:$AZ$9320,MATCH(B42,'Inventaire M-1'!$A:$A,0)-1,MATCH("poids",'Inventaire M-1'!#REF!,0))))</f>
        <v>#REF!</v>
      </c>
      <c r="M42" s="175"/>
      <c r="N42" s="157" t="str">
        <f t="shared" si="0"/>
        <v>0</v>
      </c>
      <c r="O42" s="98" t="str">
        <f t="shared" si="1"/>
        <v/>
      </c>
      <c r="P42" s="80" t="e">
        <f t="shared" si="2"/>
        <v>#REF!</v>
      </c>
      <c r="Q42" s="75">
        <v>1.8E-9</v>
      </c>
      <c r="R42" s="175" t="e">
        <f>IF(OR('Inventaire M-1'!#REF!="Dispo/Liquidité Investie",'Inventaire M-1'!#REF!="Option/Future",'Inventaire M-1'!#REF!="TCN",'Inventaire M-1'!#REF!=""),"-",'Inventaire M-1'!#REF!)</f>
        <v>#REF!</v>
      </c>
      <c r="S42" s="175" t="e">
        <f>IF(OR('Inventaire M-1'!#REF!="Dispo/Liquidité Investie",'Inventaire M-1'!#REF!="Option/Future",'Inventaire M-1'!#REF!="TCN",'Inventaire M-1'!#REF!=""),"-",'Inventaire M-1'!#REF!)</f>
        <v>#REF!</v>
      </c>
      <c r="T42" s="175"/>
      <c r="U42" s="175" t="e">
        <f>IF(R42="-","",INDEX('Inventaire M-1'!$A$2:$AG$9334,MATCH(R42,'Inventaire M-1'!$A:$A,0)-1,MATCH("Cours EUR",'Inventaire M-1'!#REF!,0)))</f>
        <v>#REF!</v>
      </c>
      <c r="V42" s="175" t="e">
        <f>IF(R42="-","",IF(ISERROR(INDEX('Inventaire M'!$A$2:$AD$9319,MATCH(R42,'Inventaire M'!$A:$A,0)-1,MATCH("Cours EUR",'Inventaire M'!#REF!,0))),"Sell",INDEX('Inventaire M'!$A$2:$AD$9319,MATCH(R42,'Inventaire M'!$A:$A,0)-1,MATCH("Cours EUR",'Inventaire M'!#REF!,0))))</f>
        <v>#REF!</v>
      </c>
      <c r="W42" s="175"/>
      <c r="X42" s="156" t="e">
        <f>IF(R42="-","",INDEX('Inventaire M-1'!$A$2:$AG$9334,MATCH(R42,'Inventaire M-1'!$A:$A,0)-1,MATCH("quantite",'Inventaire M-1'!#REF!,0)))</f>
        <v>#REF!</v>
      </c>
      <c r="Y42" s="156" t="e">
        <f>IF(S42="-","",IF(ISERROR(INDEX('Inventaire M'!$A$2:$AD$9319,MATCH(R42,'Inventaire M'!$A:$A,0)-1,MATCH("quantite",'Inventaire M'!#REF!,0))),"Sell",INDEX('Inventaire M'!$A$2:$AD$9319,MATCH(R42,'Inventaire M'!$A:$A,0)-1,MATCH("quantite",'Inventaire M'!#REF!,0))))</f>
        <v>#REF!</v>
      </c>
      <c r="Z42" s="175"/>
      <c r="AA42" s="155" t="e">
        <f>IF(R42="-","",INDEX('Inventaire M-1'!$A$2:$AG$9334,MATCH(R42,'Inventaire M-1'!$A:$A,0)-1,MATCH("poids",'Inventaire M-1'!#REF!,0)))</f>
        <v>#REF!</v>
      </c>
      <c r="AB42" s="155" t="e">
        <f>IF(R42="-","",IF(ISERROR(INDEX('Inventaire M'!$A$2:$AD$9319,MATCH(R42,'Inventaire M'!$A:$A,0)-1,MATCH("poids",'Inventaire M'!#REF!,0))),"Sell",INDEX('Inventaire M'!$A$2:$AD$9319,MATCH(R42,'Inventaire M'!$A:$A,0)-1,MATCH("poids",'Inventaire M'!#REF!,0))))</f>
        <v>#REF!</v>
      </c>
      <c r="AC42" s="175"/>
      <c r="AD42" s="157" t="str">
        <f t="shared" si="3"/>
        <v>0</v>
      </c>
      <c r="AE42" s="98" t="str">
        <f t="shared" si="4"/>
        <v/>
      </c>
      <c r="AF42" s="80" t="e">
        <f t="shared" si="5"/>
        <v>#REF!</v>
      </c>
    </row>
    <row r="43" spans="2:32" outlineLevel="1">
      <c r="B43" s="175" t="e">
        <f>IF(OR('Inventaire M'!#REF!="Dispo/Liquidité Investie",'Inventaire M'!#REF!="Option/Future",'Inventaire M'!#REF!="TCN",'Inventaire M'!#REF!=""),"-",'Inventaire M'!#REF!)</f>
        <v>#REF!</v>
      </c>
      <c r="C43" s="175" t="e">
        <f>IF(OR('Inventaire M'!#REF!="Dispo/Liquidité Investie",'Inventaire M'!#REF!="Option/Future",'Inventaire M'!#REF!="TCN",'Inventaire M'!#REF!=""),"-",'Inventaire M'!#REF!)</f>
        <v>#REF!</v>
      </c>
      <c r="D43" s="175"/>
      <c r="E43" s="175" t="e">
        <f>IF(B43="-","",INDEX('Inventaire M'!$A$2:$AW$9305,MATCH(B43,'Inventaire M'!$A:$A,0)-1,MATCH("Cours EUR",'Inventaire M'!#REF!,0)))</f>
        <v>#REF!</v>
      </c>
      <c r="F43" s="175" t="e">
        <f>IF(B43="-","",IF(ISERROR(INDEX('Inventaire M-1'!$A$2:$AZ$9320,MATCH(B43,'Inventaire M-1'!$A:$A,0)-1,MATCH("Cours EUR",'Inventaire M-1'!#REF!,0))),"Buy",INDEX('Inventaire M-1'!$A$2:$AZ$9320,MATCH(B43,'Inventaire M-1'!$A:$A,0)-1,MATCH("Cours EUR",'Inventaire M-1'!#REF!,0))))</f>
        <v>#REF!</v>
      </c>
      <c r="G43" s="175"/>
      <c r="H43" s="156" t="e">
        <f>IF(B43="-","",INDEX('Inventaire M'!$A$2:$AW$9305,MATCH(B43,'Inventaire M'!$A:$A,0)-1,MATCH("quantite",'Inventaire M'!#REF!,0)))</f>
        <v>#REF!</v>
      </c>
      <c r="I43" s="156" t="e">
        <f>IF(C43="-","",IF(ISERROR(INDEX('Inventaire M-1'!$A$2:$AZ$9320,MATCH(B43,'Inventaire M-1'!$A:$A,0)-1,MATCH("quantite",'Inventaire M-1'!#REF!,0))),"Buy",INDEX('Inventaire M-1'!$A$2:$AZ$9320,MATCH(B43,'Inventaire M-1'!$A:$A,0)-1,MATCH("quantite",'Inventaire M-1'!#REF!,0))))</f>
        <v>#REF!</v>
      </c>
      <c r="J43" s="175"/>
      <c r="K43" s="155" t="e">
        <f>IF(B43="-","",INDEX('Inventaire M'!$A$2:$AW$9305,MATCH(B43,'Inventaire M'!$A:$A,0)-1,MATCH("poids",'Inventaire M'!#REF!,0)))</f>
        <v>#REF!</v>
      </c>
      <c r="L43" s="155" t="e">
        <f>IF(B43="-","",IF(ISERROR(INDEX('Inventaire M-1'!$A$2:$AZ$9320,MATCH(B43,'Inventaire M-1'!$A:$A,0)-1,MATCH("poids",'Inventaire M-1'!#REF!,0))),"Buy",INDEX('Inventaire M-1'!$A$2:$AZ$9320,MATCH(B43,'Inventaire M-1'!$A:$A,0)-1,MATCH("poids",'Inventaire M-1'!#REF!,0))))</f>
        <v>#REF!</v>
      </c>
      <c r="M43" s="175"/>
      <c r="N43" s="157" t="str">
        <f t="shared" si="0"/>
        <v>0</v>
      </c>
      <c r="O43" s="98" t="str">
        <f t="shared" si="1"/>
        <v/>
      </c>
      <c r="P43" s="80" t="e">
        <f t="shared" si="2"/>
        <v>#REF!</v>
      </c>
      <c r="Q43" s="75">
        <v>1.9000000000000001E-9</v>
      </c>
      <c r="R43" s="175" t="e">
        <f>IF(OR('Inventaire M-1'!#REF!="Dispo/Liquidité Investie",'Inventaire M-1'!#REF!="Option/Future",'Inventaire M-1'!#REF!="TCN",'Inventaire M-1'!#REF!=""),"-",'Inventaire M-1'!#REF!)</f>
        <v>#REF!</v>
      </c>
      <c r="S43" s="175" t="e">
        <f>IF(OR('Inventaire M-1'!#REF!="Dispo/Liquidité Investie",'Inventaire M-1'!#REF!="Option/Future",'Inventaire M-1'!#REF!="TCN",'Inventaire M-1'!#REF!=""),"-",'Inventaire M-1'!#REF!)</f>
        <v>#REF!</v>
      </c>
      <c r="T43" s="175"/>
      <c r="U43" s="175" t="e">
        <f>IF(R43="-","",INDEX('Inventaire M-1'!$A$2:$AG$9334,MATCH(R43,'Inventaire M-1'!$A:$A,0)-1,MATCH("Cours EUR",'Inventaire M-1'!#REF!,0)))</f>
        <v>#REF!</v>
      </c>
      <c r="V43" s="175" t="e">
        <f>IF(R43="-","",IF(ISERROR(INDEX('Inventaire M'!$A$2:$AD$9319,MATCH(R43,'Inventaire M'!$A:$A,0)-1,MATCH("Cours EUR",'Inventaire M'!#REF!,0))),"Sell",INDEX('Inventaire M'!$A$2:$AD$9319,MATCH(R43,'Inventaire M'!$A:$A,0)-1,MATCH("Cours EUR",'Inventaire M'!#REF!,0))))</f>
        <v>#REF!</v>
      </c>
      <c r="W43" s="175"/>
      <c r="X43" s="156" t="e">
        <f>IF(R43="-","",INDEX('Inventaire M-1'!$A$2:$AG$9334,MATCH(R43,'Inventaire M-1'!$A:$A,0)-1,MATCH("quantite",'Inventaire M-1'!#REF!,0)))</f>
        <v>#REF!</v>
      </c>
      <c r="Y43" s="156" t="e">
        <f>IF(S43="-","",IF(ISERROR(INDEX('Inventaire M'!$A$2:$AD$9319,MATCH(R43,'Inventaire M'!$A:$A,0)-1,MATCH("quantite",'Inventaire M'!#REF!,0))),"Sell",INDEX('Inventaire M'!$A$2:$AD$9319,MATCH(R43,'Inventaire M'!$A:$A,0)-1,MATCH("quantite",'Inventaire M'!#REF!,0))))</f>
        <v>#REF!</v>
      </c>
      <c r="Z43" s="175"/>
      <c r="AA43" s="155" t="e">
        <f>IF(R43="-","",INDEX('Inventaire M-1'!$A$2:$AG$9334,MATCH(R43,'Inventaire M-1'!$A:$A,0)-1,MATCH("poids",'Inventaire M-1'!#REF!,0)))</f>
        <v>#REF!</v>
      </c>
      <c r="AB43" s="155" t="e">
        <f>IF(R43="-","",IF(ISERROR(INDEX('Inventaire M'!$A$2:$AD$9319,MATCH(R43,'Inventaire M'!$A:$A,0)-1,MATCH("poids",'Inventaire M'!#REF!,0))),"Sell",INDEX('Inventaire M'!$A$2:$AD$9319,MATCH(R43,'Inventaire M'!$A:$A,0)-1,MATCH("poids",'Inventaire M'!#REF!,0))))</f>
        <v>#REF!</v>
      </c>
      <c r="AC43" s="175"/>
      <c r="AD43" s="157" t="str">
        <f t="shared" si="3"/>
        <v>0</v>
      </c>
      <c r="AE43" s="98" t="str">
        <f t="shared" si="4"/>
        <v/>
      </c>
      <c r="AF43" s="80" t="e">
        <f t="shared" si="5"/>
        <v>#REF!</v>
      </c>
    </row>
    <row r="44" spans="2:32" outlineLevel="1">
      <c r="B44" s="175" t="e">
        <f>IF(OR('Inventaire M'!#REF!="Dispo/Liquidité Investie",'Inventaire M'!#REF!="Option/Future",'Inventaire M'!#REF!="TCN",'Inventaire M'!#REF!=""),"-",'Inventaire M'!#REF!)</f>
        <v>#REF!</v>
      </c>
      <c r="C44" s="175" t="e">
        <f>IF(OR('Inventaire M'!#REF!="Dispo/Liquidité Investie",'Inventaire M'!#REF!="Option/Future",'Inventaire M'!#REF!="TCN",'Inventaire M'!#REF!=""),"-",'Inventaire M'!#REF!)</f>
        <v>#REF!</v>
      </c>
      <c r="D44" s="175"/>
      <c r="E44" s="175" t="e">
        <f>IF(B44="-","",INDEX('Inventaire M'!$A$2:$AW$9305,MATCH(B44,'Inventaire M'!$A:$A,0)-1,MATCH("Cours EUR",'Inventaire M'!#REF!,0)))</f>
        <v>#REF!</v>
      </c>
      <c r="F44" s="175" t="e">
        <f>IF(B44="-","",IF(ISERROR(INDEX('Inventaire M-1'!$A$2:$AZ$9320,MATCH(B44,'Inventaire M-1'!$A:$A,0)-1,MATCH("Cours EUR",'Inventaire M-1'!#REF!,0))),"Buy",INDEX('Inventaire M-1'!$A$2:$AZ$9320,MATCH(B44,'Inventaire M-1'!$A:$A,0)-1,MATCH("Cours EUR",'Inventaire M-1'!#REF!,0))))</f>
        <v>#REF!</v>
      </c>
      <c r="G44" s="175"/>
      <c r="H44" s="156" t="e">
        <f>IF(B44="-","",INDEX('Inventaire M'!$A$2:$AW$9305,MATCH(B44,'Inventaire M'!$A:$A,0)-1,MATCH("quantite",'Inventaire M'!#REF!,0)))</f>
        <v>#REF!</v>
      </c>
      <c r="I44" s="156" t="e">
        <f>IF(C44="-","",IF(ISERROR(INDEX('Inventaire M-1'!$A$2:$AZ$9320,MATCH(B44,'Inventaire M-1'!$A:$A,0)-1,MATCH("quantite",'Inventaire M-1'!#REF!,0))),"Buy",INDEX('Inventaire M-1'!$A$2:$AZ$9320,MATCH(B44,'Inventaire M-1'!$A:$A,0)-1,MATCH("quantite",'Inventaire M-1'!#REF!,0))))</f>
        <v>#REF!</v>
      </c>
      <c r="J44" s="175"/>
      <c r="K44" s="155" t="e">
        <f>IF(B44="-","",INDEX('Inventaire M'!$A$2:$AW$9305,MATCH(B44,'Inventaire M'!$A:$A,0)-1,MATCH("poids",'Inventaire M'!#REF!,0)))</f>
        <v>#REF!</v>
      </c>
      <c r="L44" s="155" t="e">
        <f>IF(B44="-","",IF(ISERROR(INDEX('Inventaire M-1'!$A$2:$AZ$9320,MATCH(B44,'Inventaire M-1'!$A:$A,0)-1,MATCH("poids",'Inventaire M-1'!#REF!,0))),"Buy",INDEX('Inventaire M-1'!$A$2:$AZ$9320,MATCH(B44,'Inventaire M-1'!$A:$A,0)-1,MATCH("poids",'Inventaire M-1'!#REF!,0))))</f>
        <v>#REF!</v>
      </c>
      <c r="M44" s="175"/>
      <c r="N44" s="157" t="str">
        <f t="shared" si="0"/>
        <v>0</v>
      </c>
      <c r="O44" s="98" t="str">
        <f t="shared" si="1"/>
        <v/>
      </c>
      <c r="P44" s="80" t="e">
        <f t="shared" si="2"/>
        <v>#REF!</v>
      </c>
      <c r="Q44" s="75">
        <v>2.0000000000000001E-9</v>
      </c>
      <c r="R44" s="175" t="e">
        <f>IF(OR('Inventaire M-1'!#REF!="Dispo/Liquidité Investie",'Inventaire M-1'!#REF!="Option/Future",'Inventaire M-1'!#REF!="TCN",'Inventaire M-1'!#REF!=""),"-",'Inventaire M-1'!#REF!)</f>
        <v>#REF!</v>
      </c>
      <c r="S44" s="175" t="e">
        <f>IF(OR('Inventaire M-1'!#REF!="Dispo/Liquidité Investie",'Inventaire M-1'!#REF!="Option/Future",'Inventaire M-1'!#REF!="TCN",'Inventaire M-1'!#REF!=""),"-",'Inventaire M-1'!#REF!)</f>
        <v>#REF!</v>
      </c>
      <c r="T44" s="175"/>
      <c r="U44" s="175" t="e">
        <f>IF(R44="-","",INDEX('Inventaire M-1'!$A$2:$AG$9334,MATCH(R44,'Inventaire M-1'!$A:$A,0)-1,MATCH("Cours EUR",'Inventaire M-1'!#REF!,0)))</f>
        <v>#REF!</v>
      </c>
      <c r="V44" s="175" t="e">
        <f>IF(R44="-","",IF(ISERROR(INDEX('Inventaire M'!$A$2:$AD$9319,MATCH(R44,'Inventaire M'!$A:$A,0)-1,MATCH("Cours EUR",'Inventaire M'!#REF!,0))),"Sell",INDEX('Inventaire M'!$A$2:$AD$9319,MATCH(R44,'Inventaire M'!$A:$A,0)-1,MATCH("Cours EUR",'Inventaire M'!#REF!,0))))</f>
        <v>#REF!</v>
      </c>
      <c r="W44" s="175"/>
      <c r="X44" s="156" t="e">
        <f>IF(R44="-","",INDEX('Inventaire M-1'!$A$2:$AG$9334,MATCH(R44,'Inventaire M-1'!$A:$A,0)-1,MATCH("quantite",'Inventaire M-1'!#REF!,0)))</f>
        <v>#REF!</v>
      </c>
      <c r="Y44" s="156" t="e">
        <f>IF(S44="-","",IF(ISERROR(INDEX('Inventaire M'!$A$2:$AD$9319,MATCH(R44,'Inventaire M'!$A:$A,0)-1,MATCH("quantite",'Inventaire M'!#REF!,0))),"Sell",INDEX('Inventaire M'!$A$2:$AD$9319,MATCH(R44,'Inventaire M'!$A:$A,0)-1,MATCH("quantite",'Inventaire M'!#REF!,0))))</f>
        <v>#REF!</v>
      </c>
      <c r="Z44" s="175"/>
      <c r="AA44" s="155" t="e">
        <f>IF(R44="-","",INDEX('Inventaire M-1'!$A$2:$AG$9334,MATCH(R44,'Inventaire M-1'!$A:$A,0)-1,MATCH("poids",'Inventaire M-1'!#REF!,0)))</f>
        <v>#REF!</v>
      </c>
      <c r="AB44" s="155" t="e">
        <f>IF(R44="-","",IF(ISERROR(INDEX('Inventaire M'!$A$2:$AD$9319,MATCH(R44,'Inventaire M'!$A:$A,0)-1,MATCH("poids",'Inventaire M'!#REF!,0))),"Sell",INDEX('Inventaire M'!$A$2:$AD$9319,MATCH(R44,'Inventaire M'!$A:$A,0)-1,MATCH("poids",'Inventaire M'!#REF!,0))))</f>
        <v>#REF!</v>
      </c>
      <c r="AC44" s="175"/>
      <c r="AD44" s="157" t="str">
        <f t="shared" si="3"/>
        <v>0</v>
      </c>
      <c r="AE44" s="98" t="str">
        <f t="shared" si="4"/>
        <v/>
      </c>
      <c r="AF44" s="80" t="e">
        <f t="shared" si="5"/>
        <v>#REF!</v>
      </c>
    </row>
    <row r="45" spans="2:32" outlineLevel="1">
      <c r="B45" s="175" t="e">
        <f>IF(OR('Inventaire M'!#REF!="Dispo/Liquidité Investie",'Inventaire M'!#REF!="Option/Future",'Inventaire M'!#REF!="TCN",'Inventaire M'!#REF!=""),"-",'Inventaire M'!#REF!)</f>
        <v>#REF!</v>
      </c>
      <c r="C45" s="175" t="e">
        <f>IF(OR('Inventaire M'!#REF!="Dispo/Liquidité Investie",'Inventaire M'!#REF!="Option/Future",'Inventaire M'!#REF!="TCN",'Inventaire M'!#REF!=""),"-",'Inventaire M'!#REF!)</f>
        <v>#REF!</v>
      </c>
      <c r="D45" s="175"/>
      <c r="E45" s="175" t="e">
        <f>IF(B45="-","",INDEX('Inventaire M'!$A$2:$AW$9305,MATCH(B45,'Inventaire M'!$A:$A,0)-1,MATCH("Cours EUR",'Inventaire M'!#REF!,0)))</f>
        <v>#REF!</v>
      </c>
      <c r="F45" s="175" t="e">
        <f>IF(B45="-","",IF(ISERROR(INDEX('Inventaire M-1'!$A$2:$AZ$9320,MATCH(B45,'Inventaire M-1'!$A:$A,0)-1,MATCH("Cours EUR",'Inventaire M-1'!#REF!,0))),"Buy",INDEX('Inventaire M-1'!$A$2:$AZ$9320,MATCH(B45,'Inventaire M-1'!$A:$A,0)-1,MATCH("Cours EUR",'Inventaire M-1'!#REF!,0))))</f>
        <v>#REF!</v>
      </c>
      <c r="G45" s="175"/>
      <c r="H45" s="156" t="e">
        <f>IF(B45="-","",INDEX('Inventaire M'!$A$2:$AW$9305,MATCH(B45,'Inventaire M'!$A:$A,0)-1,MATCH("quantite",'Inventaire M'!#REF!,0)))</f>
        <v>#REF!</v>
      </c>
      <c r="I45" s="156" t="e">
        <f>IF(C45="-","",IF(ISERROR(INDEX('Inventaire M-1'!$A$2:$AZ$9320,MATCH(B45,'Inventaire M-1'!$A:$A,0)-1,MATCH("quantite",'Inventaire M-1'!#REF!,0))),"Buy",INDEX('Inventaire M-1'!$A$2:$AZ$9320,MATCH(B45,'Inventaire M-1'!$A:$A,0)-1,MATCH("quantite",'Inventaire M-1'!#REF!,0))))</f>
        <v>#REF!</v>
      </c>
      <c r="J45" s="175"/>
      <c r="K45" s="155" t="e">
        <f>IF(B45="-","",INDEX('Inventaire M'!$A$2:$AW$9305,MATCH(B45,'Inventaire M'!$A:$A,0)-1,MATCH("poids",'Inventaire M'!#REF!,0)))</f>
        <v>#REF!</v>
      </c>
      <c r="L45" s="155" t="e">
        <f>IF(B45="-","",IF(ISERROR(INDEX('Inventaire M-1'!$A$2:$AZ$9320,MATCH(B45,'Inventaire M-1'!$A:$A,0)-1,MATCH("poids",'Inventaire M-1'!#REF!,0))),"Buy",INDEX('Inventaire M-1'!$A$2:$AZ$9320,MATCH(B45,'Inventaire M-1'!$A:$A,0)-1,MATCH("poids",'Inventaire M-1'!#REF!,0))))</f>
        <v>#REF!</v>
      </c>
      <c r="M45" s="175"/>
      <c r="N45" s="157" t="str">
        <f t="shared" si="0"/>
        <v>0</v>
      </c>
      <c r="O45" s="98" t="str">
        <f t="shared" si="1"/>
        <v/>
      </c>
      <c r="P45" s="80" t="e">
        <f t="shared" si="2"/>
        <v>#REF!</v>
      </c>
      <c r="Q45" s="75">
        <v>2.1000000000000002E-9</v>
      </c>
      <c r="R45" s="175" t="e">
        <f>IF(OR('Inventaire M-1'!#REF!="Dispo/Liquidité Investie",'Inventaire M-1'!#REF!="Option/Future",'Inventaire M-1'!#REF!="TCN",'Inventaire M-1'!#REF!=""),"-",'Inventaire M-1'!#REF!)</f>
        <v>#REF!</v>
      </c>
      <c r="S45" s="175" t="e">
        <f>IF(OR('Inventaire M-1'!#REF!="Dispo/Liquidité Investie",'Inventaire M-1'!#REF!="Option/Future",'Inventaire M-1'!#REF!="TCN",'Inventaire M-1'!#REF!=""),"-",'Inventaire M-1'!#REF!)</f>
        <v>#REF!</v>
      </c>
      <c r="T45" s="175"/>
      <c r="U45" s="175" t="e">
        <f>IF(R45="-","",INDEX('Inventaire M-1'!$A$2:$AG$9334,MATCH(R45,'Inventaire M-1'!$A:$A,0)-1,MATCH("Cours EUR",'Inventaire M-1'!#REF!,0)))</f>
        <v>#REF!</v>
      </c>
      <c r="V45" s="175" t="e">
        <f>IF(R45="-","",IF(ISERROR(INDEX('Inventaire M'!$A$2:$AD$9319,MATCH(R45,'Inventaire M'!$A:$A,0)-1,MATCH("Cours EUR",'Inventaire M'!#REF!,0))),"Sell",INDEX('Inventaire M'!$A$2:$AD$9319,MATCH(R45,'Inventaire M'!$A:$A,0)-1,MATCH("Cours EUR",'Inventaire M'!#REF!,0))))</f>
        <v>#REF!</v>
      </c>
      <c r="W45" s="175"/>
      <c r="X45" s="156" t="e">
        <f>IF(R45="-","",INDEX('Inventaire M-1'!$A$2:$AG$9334,MATCH(R45,'Inventaire M-1'!$A:$A,0)-1,MATCH("quantite",'Inventaire M-1'!#REF!,0)))</f>
        <v>#REF!</v>
      </c>
      <c r="Y45" s="156" t="e">
        <f>IF(S45="-","",IF(ISERROR(INDEX('Inventaire M'!$A$2:$AD$9319,MATCH(R45,'Inventaire M'!$A:$A,0)-1,MATCH("quantite",'Inventaire M'!#REF!,0))),"Sell",INDEX('Inventaire M'!$A$2:$AD$9319,MATCH(R45,'Inventaire M'!$A:$A,0)-1,MATCH("quantite",'Inventaire M'!#REF!,0))))</f>
        <v>#REF!</v>
      </c>
      <c r="Z45" s="175"/>
      <c r="AA45" s="155" t="e">
        <f>IF(R45="-","",INDEX('Inventaire M-1'!$A$2:$AG$9334,MATCH(R45,'Inventaire M-1'!$A:$A,0)-1,MATCH("poids",'Inventaire M-1'!#REF!,0)))</f>
        <v>#REF!</v>
      </c>
      <c r="AB45" s="155" t="e">
        <f>IF(R45="-","",IF(ISERROR(INDEX('Inventaire M'!$A$2:$AD$9319,MATCH(R45,'Inventaire M'!$A:$A,0)-1,MATCH("poids",'Inventaire M'!#REF!,0))),"Sell",INDEX('Inventaire M'!$A$2:$AD$9319,MATCH(R45,'Inventaire M'!$A:$A,0)-1,MATCH("poids",'Inventaire M'!#REF!,0))))</f>
        <v>#REF!</v>
      </c>
      <c r="AC45" s="175"/>
      <c r="AD45" s="157" t="str">
        <f t="shared" si="3"/>
        <v>0</v>
      </c>
      <c r="AE45" s="98" t="str">
        <f t="shared" si="4"/>
        <v/>
      </c>
      <c r="AF45" s="80" t="e">
        <f t="shared" si="5"/>
        <v>#REF!</v>
      </c>
    </row>
    <row r="46" spans="2:32" outlineLevel="1">
      <c r="B46" s="175" t="e">
        <f>IF(OR('Inventaire M'!#REF!="Dispo/Liquidité Investie",'Inventaire M'!#REF!="Option/Future",'Inventaire M'!#REF!="TCN",'Inventaire M'!#REF!=""),"-",'Inventaire M'!#REF!)</f>
        <v>#REF!</v>
      </c>
      <c r="C46" s="175" t="e">
        <f>IF(OR('Inventaire M'!#REF!="Dispo/Liquidité Investie",'Inventaire M'!#REF!="Option/Future",'Inventaire M'!#REF!="TCN",'Inventaire M'!#REF!=""),"-",'Inventaire M'!#REF!)</f>
        <v>#REF!</v>
      </c>
      <c r="D46" s="175"/>
      <c r="E46" s="175" t="e">
        <f>IF(B46="-","",INDEX('Inventaire M'!$A$2:$AW$9305,MATCH(B46,'Inventaire M'!$A:$A,0)-1,MATCH("Cours EUR",'Inventaire M'!#REF!,0)))</f>
        <v>#REF!</v>
      </c>
      <c r="F46" s="175" t="e">
        <f>IF(B46="-","",IF(ISERROR(INDEX('Inventaire M-1'!$A$2:$AZ$9320,MATCH(B46,'Inventaire M-1'!$A:$A,0)-1,MATCH("Cours EUR",'Inventaire M-1'!#REF!,0))),"Buy",INDEX('Inventaire M-1'!$A$2:$AZ$9320,MATCH(B46,'Inventaire M-1'!$A:$A,0)-1,MATCH("Cours EUR",'Inventaire M-1'!#REF!,0))))</f>
        <v>#REF!</v>
      </c>
      <c r="G46" s="175"/>
      <c r="H46" s="156" t="e">
        <f>IF(B46="-","",INDEX('Inventaire M'!$A$2:$AW$9305,MATCH(B46,'Inventaire M'!$A:$A,0)-1,MATCH("quantite",'Inventaire M'!#REF!,0)))</f>
        <v>#REF!</v>
      </c>
      <c r="I46" s="156" t="e">
        <f>IF(C46="-","",IF(ISERROR(INDEX('Inventaire M-1'!$A$2:$AZ$9320,MATCH(B46,'Inventaire M-1'!$A:$A,0)-1,MATCH("quantite",'Inventaire M-1'!#REF!,0))),"Buy",INDEX('Inventaire M-1'!$A$2:$AZ$9320,MATCH(B46,'Inventaire M-1'!$A:$A,0)-1,MATCH("quantite",'Inventaire M-1'!#REF!,0))))</f>
        <v>#REF!</v>
      </c>
      <c r="J46" s="175"/>
      <c r="K46" s="155" t="e">
        <f>IF(B46="-","",INDEX('Inventaire M'!$A$2:$AW$9305,MATCH(B46,'Inventaire M'!$A:$A,0)-1,MATCH("poids",'Inventaire M'!#REF!,0)))</f>
        <v>#REF!</v>
      </c>
      <c r="L46" s="155" t="e">
        <f>IF(B46="-","",IF(ISERROR(INDEX('Inventaire M-1'!$A$2:$AZ$9320,MATCH(B46,'Inventaire M-1'!$A:$A,0)-1,MATCH("poids",'Inventaire M-1'!#REF!,0))),"Buy",INDEX('Inventaire M-1'!$A$2:$AZ$9320,MATCH(B46,'Inventaire M-1'!$A:$A,0)-1,MATCH("poids",'Inventaire M-1'!#REF!,0))))</f>
        <v>#REF!</v>
      </c>
      <c r="M46" s="175"/>
      <c r="N46" s="157" t="str">
        <f t="shared" si="0"/>
        <v>0</v>
      </c>
      <c r="O46" s="98" t="str">
        <f t="shared" si="1"/>
        <v/>
      </c>
      <c r="P46" s="80" t="e">
        <f t="shared" si="2"/>
        <v>#REF!</v>
      </c>
      <c r="Q46" s="75">
        <v>2.1999999999999998E-9</v>
      </c>
      <c r="R46" s="175" t="e">
        <f>IF(OR('Inventaire M-1'!#REF!="Dispo/Liquidité Investie",'Inventaire M-1'!#REF!="Option/Future",'Inventaire M-1'!#REF!="TCN",'Inventaire M-1'!#REF!=""),"-",'Inventaire M-1'!#REF!)</f>
        <v>#REF!</v>
      </c>
      <c r="S46" s="175" t="e">
        <f>IF(OR('Inventaire M-1'!#REF!="Dispo/Liquidité Investie",'Inventaire M-1'!#REF!="Option/Future",'Inventaire M-1'!#REF!="TCN",'Inventaire M-1'!#REF!=""),"-",'Inventaire M-1'!#REF!)</f>
        <v>#REF!</v>
      </c>
      <c r="T46" s="175"/>
      <c r="U46" s="175" t="e">
        <f>IF(R46="-","",INDEX('Inventaire M-1'!$A$2:$AG$9334,MATCH(R46,'Inventaire M-1'!$A:$A,0)-1,MATCH("Cours EUR",'Inventaire M-1'!#REF!,0)))</f>
        <v>#REF!</v>
      </c>
      <c r="V46" s="175" t="e">
        <f>IF(R46="-","",IF(ISERROR(INDEX('Inventaire M'!$A$2:$AD$9319,MATCH(R46,'Inventaire M'!$A:$A,0)-1,MATCH("Cours EUR",'Inventaire M'!#REF!,0))),"Sell",INDEX('Inventaire M'!$A$2:$AD$9319,MATCH(R46,'Inventaire M'!$A:$A,0)-1,MATCH("Cours EUR",'Inventaire M'!#REF!,0))))</f>
        <v>#REF!</v>
      </c>
      <c r="W46" s="175"/>
      <c r="X46" s="156" t="e">
        <f>IF(R46="-","",INDEX('Inventaire M-1'!$A$2:$AG$9334,MATCH(R46,'Inventaire M-1'!$A:$A,0)-1,MATCH("quantite",'Inventaire M-1'!#REF!,0)))</f>
        <v>#REF!</v>
      </c>
      <c r="Y46" s="156" t="e">
        <f>IF(S46="-","",IF(ISERROR(INDEX('Inventaire M'!$A$2:$AD$9319,MATCH(R46,'Inventaire M'!$A:$A,0)-1,MATCH("quantite",'Inventaire M'!#REF!,0))),"Sell",INDEX('Inventaire M'!$A$2:$AD$9319,MATCH(R46,'Inventaire M'!$A:$A,0)-1,MATCH("quantite",'Inventaire M'!#REF!,0))))</f>
        <v>#REF!</v>
      </c>
      <c r="Z46" s="175"/>
      <c r="AA46" s="155" t="e">
        <f>IF(R46="-","",INDEX('Inventaire M-1'!$A$2:$AG$9334,MATCH(R46,'Inventaire M-1'!$A:$A,0)-1,MATCH("poids",'Inventaire M-1'!#REF!,0)))</f>
        <v>#REF!</v>
      </c>
      <c r="AB46" s="155" t="e">
        <f>IF(R46="-","",IF(ISERROR(INDEX('Inventaire M'!$A$2:$AD$9319,MATCH(R46,'Inventaire M'!$A:$A,0)-1,MATCH("poids",'Inventaire M'!#REF!,0))),"Sell",INDEX('Inventaire M'!$A$2:$AD$9319,MATCH(R46,'Inventaire M'!$A:$A,0)-1,MATCH("poids",'Inventaire M'!#REF!,0))))</f>
        <v>#REF!</v>
      </c>
      <c r="AC46" s="175"/>
      <c r="AD46" s="157" t="str">
        <f t="shared" si="3"/>
        <v>0</v>
      </c>
      <c r="AE46" s="98" t="str">
        <f t="shared" si="4"/>
        <v/>
      </c>
      <c r="AF46" s="80" t="e">
        <f t="shared" si="5"/>
        <v>#REF!</v>
      </c>
    </row>
    <row r="47" spans="2:32" outlineLevel="1">
      <c r="B47" s="175" t="e">
        <f>IF(OR('Inventaire M'!#REF!="Dispo/Liquidité Investie",'Inventaire M'!#REF!="Option/Future",'Inventaire M'!#REF!="TCN",'Inventaire M'!#REF!=""),"-",'Inventaire M'!#REF!)</f>
        <v>#REF!</v>
      </c>
      <c r="C47" s="175" t="e">
        <f>IF(OR('Inventaire M'!#REF!="Dispo/Liquidité Investie",'Inventaire M'!#REF!="Option/Future",'Inventaire M'!#REF!="TCN",'Inventaire M'!#REF!=""),"-",'Inventaire M'!#REF!)</f>
        <v>#REF!</v>
      </c>
      <c r="D47" s="175"/>
      <c r="E47" s="175" t="e">
        <f>IF(B47="-","",INDEX('Inventaire M'!$A$2:$AW$9305,MATCH(B47,'Inventaire M'!$A:$A,0)-1,MATCH("Cours EUR",'Inventaire M'!#REF!,0)))</f>
        <v>#REF!</v>
      </c>
      <c r="F47" s="175" t="e">
        <f>IF(B47="-","",IF(ISERROR(INDEX('Inventaire M-1'!$A$2:$AZ$9320,MATCH(B47,'Inventaire M-1'!$A:$A,0)-1,MATCH("Cours EUR",'Inventaire M-1'!#REF!,0))),"Buy",INDEX('Inventaire M-1'!$A$2:$AZ$9320,MATCH(B47,'Inventaire M-1'!$A:$A,0)-1,MATCH("Cours EUR",'Inventaire M-1'!#REF!,0))))</f>
        <v>#REF!</v>
      </c>
      <c r="G47" s="175"/>
      <c r="H47" s="156" t="e">
        <f>IF(B47="-","",INDEX('Inventaire M'!$A$2:$AW$9305,MATCH(B47,'Inventaire M'!$A:$A,0)-1,MATCH("quantite",'Inventaire M'!#REF!,0)))</f>
        <v>#REF!</v>
      </c>
      <c r="I47" s="156" t="e">
        <f>IF(C47="-","",IF(ISERROR(INDEX('Inventaire M-1'!$A$2:$AZ$9320,MATCH(B47,'Inventaire M-1'!$A:$A,0)-1,MATCH("quantite",'Inventaire M-1'!#REF!,0))),"Buy",INDEX('Inventaire M-1'!$A$2:$AZ$9320,MATCH(B47,'Inventaire M-1'!$A:$A,0)-1,MATCH("quantite",'Inventaire M-1'!#REF!,0))))</f>
        <v>#REF!</v>
      </c>
      <c r="J47" s="175"/>
      <c r="K47" s="155" t="e">
        <f>IF(B47="-","",INDEX('Inventaire M'!$A$2:$AW$9305,MATCH(B47,'Inventaire M'!$A:$A,0)-1,MATCH("poids",'Inventaire M'!#REF!,0)))</f>
        <v>#REF!</v>
      </c>
      <c r="L47" s="155" t="e">
        <f>IF(B47="-","",IF(ISERROR(INDEX('Inventaire M-1'!$A$2:$AZ$9320,MATCH(B47,'Inventaire M-1'!$A:$A,0)-1,MATCH("poids",'Inventaire M-1'!#REF!,0))),"Buy",INDEX('Inventaire M-1'!$A$2:$AZ$9320,MATCH(B47,'Inventaire M-1'!$A:$A,0)-1,MATCH("poids",'Inventaire M-1'!#REF!,0))))</f>
        <v>#REF!</v>
      </c>
      <c r="M47" s="175"/>
      <c r="N47" s="157" t="str">
        <f t="shared" si="0"/>
        <v>0</v>
      </c>
      <c r="O47" s="98" t="str">
        <f t="shared" si="1"/>
        <v/>
      </c>
      <c r="P47" s="80" t="e">
        <f t="shared" si="2"/>
        <v>#REF!</v>
      </c>
      <c r="Q47" s="75">
        <v>2.2999999999999999E-9</v>
      </c>
      <c r="R47" s="175" t="e">
        <f>IF(OR('Inventaire M-1'!#REF!="Dispo/Liquidité Investie",'Inventaire M-1'!#REF!="Option/Future",'Inventaire M-1'!#REF!="TCN",'Inventaire M-1'!#REF!=""),"-",'Inventaire M-1'!#REF!)</f>
        <v>#REF!</v>
      </c>
      <c r="S47" s="175" t="e">
        <f>IF(OR('Inventaire M-1'!#REF!="Dispo/Liquidité Investie",'Inventaire M-1'!#REF!="Option/Future",'Inventaire M-1'!#REF!="TCN",'Inventaire M-1'!#REF!=""),"-",'Inventaire M-1'!#REF!)</f>
        <v>#REF!</v>
      </c>
      <c r="T47" s="175"/>
      <c r="U47" s="175" t="e">
        <f>IF(R47="-","",INDEX('Inventaire M-1'!$A$2:$AG$9334,MATCH(R47,'Inventaire M-1'!$A:$A,0)-1,MATCH("Cours EUR",'Inventaire M-1'!#REF!,0)))</f>
        <v>#REF!</v>
      </c>
      <c r="V47" s="175" t="e">
        <f>IF(R47="-","",IF(ISERROR(INDEX('Inventaire M'!$A$2:$AD$9319,MATCH(R47,'Inventaire M'!$A:$A,0)-1,MATCH("Cours EUR",'Inventaire M'!#REF!,0))),"Sell",INDEX('Inventaire M'!$A$2:$AD$9319,MATCH(R47,'Inventaire M'!$A:$A,0)-1,MATCH("Cours EUR",'Inventaire M'!#REF!,0))))</f>
        <v>#REF!</v>
      </c>
      <c r="W47" s="175"/>
      <c r="X47" s="156" t="e">
        <f>IF(R47="-","",INDEX('Inventaire M-1'!$A$2:$AG$9334,MATCH(R47,'Inventaire M-1'!$A:$A,0)-1,MATCH("quantite",'Inventaire M-1'!#REF!,0)))</f>
        <v>#REF!</v>
      </c>
      <c r="Y47" s="156" t="e">
        <f>IF(S47="-","",IF(ISERROR(INDEX('Inventaire M'!$A$2:$AD$9319,MATCH(R47,'Inventaire M'!$A:$A,0)-1,MATCH("quantite",'Inventaire M'!#REF!,0))),"Sell",INDEX('Inventaire M'!$A$2:$AD$9319,MATCH(R47,'Inventaire M'!$A:$A,0)-1,MATCH("quantite",'Inventaire M'!#REF!,0))))</f>
        <v>#REF!</v>
      </c>
      <c r="Z47" s="175"/>
      <c r="AA47" s="155" t="e">
        <f>IF(R47="-","",INDEX('Inventaire M-1'!$A$2:$AG$9334,MATCH(R47,'Inventaire M-1'!$A:$A,0)-1,MATCH("poids",'Inventaire M-1'!#REF!,0)))</f>
        <v>#REF!</v>
      </c>
      <c r="AB47" s="155" t="e">
        <f>IF(R47="-","",IF(ISERROR(INDEX('Inventaire M'!$A$2:$AD$9319,MATCH(R47,'Inventaire M'!$A:$A,0)-1,MATCH("poids",'Inventaire M'!#REF!,0))),"Sell",INDEX('Inventaire M'!$A$2:$AD$9319,MATCH(R47,'Inventaire M'!$A:$A,0)-1,MATCH("poids",'Inventaire M'!#REF!,0))))</f>
        <v>#REF!</v>
      </c>
      <c r="AC47" s="175"/>
      <c r="AD47" s="157" t="str">
        <f t="shared" si="3"/>
        <v>0</v>
      </c>
      <c r="AE47" s="98" t="str">
        <f t="shared" si="4"/>
        <v/>
      </c>
      <c r="AF47" s="80" t="e">
        <f t="shared" si="5"/>
        <v>#REF!</v>
      </c>
    </row>
    <row r="48" spans="2:32" outlineLevel="1">
      <c r="B48" s="175" t="e">
        <f>IF(OR('Inventaire M'!#REF!="Dispo/Liquidité Investie",'Inventaire M'!#REF!="Option/Future",'Inventaire M'!#REF!="TCN",'Inventaire M'!#REF!=""),"-",'Inventaire M'!#REF!)</f>
        <v>#REF!</v>
      </c>
      <c r="C48" s="175" t="e">
        <f>IF(OR('Inventaire M'!#REF!="Dispo/Liquidité Investie",'Inventaire M'!#REF!="Option/Future",'Inventaire M'!#REF!="TCN",'Inventaire M'!#REF!=""),"-",'Inventaire M'!#REF!)</f>
        <v>#REF!</v>
      </c>
      <c r="D48" s="175"/>
      <c r="E48" s="175" t="e">
        <f>IF(B48="-","",INDEX('Inventaire M'!$A$2:$AW$9305,MATCH(B48,'Inventaire M'!$A:$A,0)-1,MATCH("Cours EUR",'Inventaire M'!#REF!,0)))</f>
        <v>#REF!</v>
      </c>
      <c r="F48" s="175" t="e">
        <f>IF(B48="-","",IF(ISERROR(INDEX('Inventaire M-1'!$A$2:$AZ$9320,MATCH(B48,'Inventaire M-1'!$A:$A,0)-1,MATCH("Cours EUR",'Inventaire M-1'!#REF!,0))),"Buy",INDEX('Inventaire M-1'!$A$2:$AZ$9320,MATCH(B48,'Inventaire M-1'!$A:$A,0)-1,MATCH("Cours EUR",'Inventaire M-1'!#REF!,0))))</f>
        <v>#REF!</v>
      </c>
      <c r="G48" s="175"/>
      <c r="H48" s="156" t="e">
        <f>IF(B48="-","",INDEX('Inventaire M'!$A$2:$AW$9305,MATCH(B48,'Inventaire M'!$A:$A,0)-1,MATCH("quantite",'Inventaire M'!#REF!,0)))</f>
        <v>#REF!</v>
      </c>
      <c r="I48" s="156" t="e">
        <f>IF(C48="-","",IF(ISERROR(INDEX('Inventaire M-1'!$A$2:$AZ$9320,MATCH(B48,'Inventaire M-1'!$A:$A,0)-1,MATCH("quantite",'Inventaire M-1'!#REF!,0))),"Buy",INDEX('Inventaire M-1'!$A$2:$AZ$9320,MATCH(B48,'Inventaire M-1'!$A:$A,0)-1,MATCH("quantite",'Inventaire M-1'!#REF!,0))))</f>
        <v>#REF!</v>
      </c>
      <c r="J48" s="175"/>
      <c r="K48" s="155" t="e">
        <f>IF(B48="-","",INDEX('Inventaire M'!$A$2:$AW$9305,MATCH(B48,'Inventaire M'!$A:$A,0)-1,MATCH("poids",'Inventaire M'!#REF!,0)))</f>
        <v>#REF!</v>
      </c>
      <c r="L48" s="155" t="e">
        <f>IF(B48="-","",IF(ISERROR(INDEX('Inventaire M-1'!$A$2:$AZ$9320,MATCH(B48,'Inventaire M-1'!$A:$A,0)-1,MATCH("poids",'Inventaire M-1'!#REF!,0))),"Buy",INDEX('Inventaire M-1'!$A$2:$AZ$9320,MATCH(B48,'Inventaire M-1'!$A:$A,0)-1,MATCH("poids",'Inventaire M-1'!#REF!,0))))</f>
        <v>#REF!</v>
      </c>
      <c r="M48" s="175"/>
      <c r="N48" s="157" t="str">
        <f t="shared" si="0"/>
        <v>0</v>
      </c>
      <c r="O48" s="98" t="str">
        <f t="shared" si="1"/>
        <v/>
      </c>
      <c r="P48" s="80" t="e">
        <f t="shared" si="2"/>
        <v>#REF!</v>
      </c>
      <c r="Q48" s="75">
        <v>2.4E-9</v>
      </c>
      <c r="R48" s="175" t="e">
        <f>IF(OR('Inventaire M-1'!#REF!="Dispo/Liquidité Investie",'Inventaire M-1'!#REF!="Option/Future",'Inventaire M-1'!#REF!="TCN",'Inventaire M-1'!#REF!=""),"-",'Inventaire M-1'!#REF!)</f>
        <v>#REF!</v>
      </c>
      <c r="S48" s="175" t="e">
        <f>IF(OR('Inventaire M-1'!#REF!="Dispo/Liquidité Investie",'Inventaire M-1'!#REF!="Option/Future",'Inventaire M-1'!#REF!="TCN",'Inventaire M-1'!#REF!=""),"-",'Inventaire M-1'!#REF!)</f>
        <v>#REF!</v>
      </c>
      <c r="T48" s="175"/>
      <c r="U48" s="175" t="e">
        <f>IF(R48="-","",INDEX('Inventaire M-1'!$A$2:$AG$9334,MATCH(R48,'Inventaire M-1'!$A:$A,0)-1,MATCH("Cours EUR",'Inventaire M-1'!#REF!,0)))</f>
        <v>#REF!</v>
      </c>
      <c r="V48" s="175" t="e">
        <f>IF(R48="-","",IF(ISERROR(INDEX('Inventaire M'!$A$2:$AD$9319,MATCH(R48,'Inventaire M'!$A:$A,0)-1,MATCH("Cours EUR",'Inventaire M'!#REF!,0))),"Sell",INDEX('Inventaire M'!$A$2:$AD$9319,MATCH(R48,'Inventaire M'!$A:$A,0)-1,MATCH("Cours EUR",'Inventaire M'!#REF!,0))))</f>
        <v>#REF!</v>
      </c>
      <c r="W48" s="175"/>
      <c r="X48" s="156" t="e">
        <f>IF(R48="-","",INDEX('Inventaire M-1'!$A$2:$AG$9334,MATCH(R48,'Inventaire M-1'!$A:$A,0)-1,MATCH("quantite",'Inventaire M-1'!#REF!,0)))</f>
        <v>#REF!</v>
      </c>
      <c r="Y48" s="156" t="e">
        <f>IF(S48="-","",IF(ISERROR(INDEX('Inventaire M'!$A$2:$AD$9319,MATCH(R48,'Inventaire M'!$A:$A,0)-1,MATCH("quantite",'Inventaire M'!#REF!,0))),"Sell",INDEX('Inventaire M'!$A$2:$AD$9319,MATCH(R48,'Inventaire M'!$A:$A,0)-1,MATCH("quantite",'Inventaire M'!#REF!,0))))</f>
        <v>#REF!</v>
      </c>
      <c r="Z48" s="175"/>
      <c r="AA48" s="155" t="e">
        <f>IF(R48="-","",INDEX('Inventaire M-1'!$A$2:$AG$9334,MATCH(R48,'Inventaire M-1'!$A:$A,0)-1,MATCH("poids",'Inventaire M-1'!#REF!,0)))</f>
        <v>#REF!</v>
      </c>
      <c r="AB48" s="155" t="e">
        <f>IF(R48="-","",IF(ISERROR(INDEX('Inventaire M'!$A$2:$AD$9319,MATCH(R48,'Inventaire M'!$A:$A,0)-1,MATCH("poids",'Inventaire M'!#REF!,0))),"Sell",INDEX('Inventaire M'!$A$2:$AD$9319,MATCH(R48,'Inventaire M'!$A:$A,0)-1,MATCH("poids",'Inventaire M'!#REF!,0))))</f>
        <v>#REF!</v>
      </c>
      <c r="AC48" s="175"/>
      <c r="AD48" s="157" t="str">
        <f t="shared" si="3"/>
        <v>0</v>
      </c>
      <c r="AE48" s="98" t="str">
        <f t="shared" si="4"/>
        <v/>
      </c>
      <c r="AF48" s="80" t="e">
        <f t="shared" si="5"/>
        <v>#REF!</v>
      </c>
    </row>
    <row r="49" spans="2:32" outlineLevel="1">
      <c r="B49" s="175" t="e">
        <f>IF(OR('Inventaire M'!#REF!="Dispo/Liquidité Investie",'Inventaire M'!#REF!="Option/Future",'Inventaire M'!#REF!="TCN",'Inventaire M'!#REF!=""),"-",'Inventaire M'!#REF!)</f>
        <v>#REF!</v>
      </c>
      <c r="C49" s="175" t="e">
        <f>IF(OR('Inventaire M'!#REF!="Dispo/Liquidité Investie",'Inventaire M'!#REF!="Option/Future",'Inventaire M'!#REF!="TCN",'Inventaire M'!#REF!=""),"-",'Inventaire M'!#REF!)</f>
        <v>#REF!</v>
      </c>
      <c r="D49" s="175"/>
      <c r="E49" s="175" t="e">
        <f>IF(B49="-","",INDEX('Inventaire M'!$A$2:$AW$9305,MATCH(B49,'Inventaire M'!$A:$A,0)-1,MATCH("Cours EUR",'Inventaire M'!#REF!,0)))</f>
        <v>#REF!</v>
      </c>
      <c r="F49" s="175" t="e">
        <f>IF(B49="-","",IF(ISERROR(INDEX('Inventaire M-1'!$A$2:$AZ$9320,MATCH(B49,'Inventaire M-1'!$A:$A,0)-1,MATCH("Cours EUR",'Inventaire M-1'!#REF!,0))),"Buy",INDEX('Inventaire M-1'!$A$2:$AZ$9320,MATCH(B49,'Inventaire M-1'!$A:$A,0)-1,MATCH("Cours EUR",'Inventaire M-1'!#REF!,0))))</f>
        <v>#REF!</v>
      </c>
      <c r="G49" s="175"/>
      <c r="H49" s="156" t="e">
        <f>IF(B49="-","",INDEX('Inventaire M'!$A$2:$AW$9305,MATCH(B49,'Inventaire M'!$A:$A,0)-1,MATCH("quantite",'Inventaire M'!#REF!,0)))</f>
        <v>#REF!</v>
      </c>
      <c r="I49" s="156" t="e">
        <f>IF(C49="-","",IF(ISERROR(INDEX('Inventaire M-1'!$A$2:$AZ$9320,MATCH(B49,'Inventaire M-1'!$A:$A,0)-1,MATCH("quantite",'Inventaire M-1'!#REF!,0))),"Buy",INDEX('Inventaire M-1'!$A$2:$AZ$9320,MATCH(B49,'Inventaire M-1'!$A:$A,0)-1,MATCH("quantite",'Inventaire M-1'!#REF!,0))))</f>
        <v>#REF!</v>
      </c>
      <c r="J49" s="175"/>
      <c r="K49" s="155" t="e">
        <f>IF(B49="-","",INDEX('Inventaire M'!$A$2:$AW$9305,MATCH(B49,'Inventaire M'!$A:$A,0)-1,MATCH("poids",'Inventaire M'!#REF!,0)))</f>
        <v>#REF!</v>
      </c>
      <c r="L49" s="155" t="e">
        <f>IF(B49="-","",IF(ISERROR(INDEX('Inventaire M-1'!$A$2:$AZ$9320,MATCH(B49,'Inventaire M-1'!$A:$A,0)-1,MATCH("poids",'Inventaire M-1'!#REF!,0))),"Buy",INDEX('Inventaire M-1'!$A$2:$AZ$9320,MATCH(B49,'Inventaire M-1'!$A:$A,0)-1,MATCH("poids",'Inventaire M-1'!#REF!,0))))</f>
        <v>#REF!</v>
      </c>
      <c r="M49" s="175"/>
      <c r="N49" s="157" t="str">
        <f t="shared" si="0"/>
        <v>0</v>
      </c>
      <c r="O49" s="98" t="str">
        <f t="shared" si="1"/>
        <v/>
      </c>
      <c r="P49" s="80" t="e">
        <f t="shared" si="2"/>
        <v>#REF!</v>
      </c>
      <c r="Q49" s="75">
        <v>2.5000000000000001E-9</v>
      </c>
      <c r="R49" s="175" t="e">
        <f>IF(OR('Inventaire M-1'!#REF!="Dispo/Liquidité Investie",'Inventaire M-1'!#REF!="Option/Future",'Inventaire M-1'!#REF!="TCN",'Inventaire M-1'!#REF!=""),"-",'Inventaire M-1'!#REF!)</f>
        <v>#REF!</v>
      </c>
      <c r="S49" s="175" t="e">
        <f>IF(OR('Inventaire M-1'!#REF!="Dispo/Liquidité Investie",'Inventaire M-1'!#REF!="Option/Future",'Inventaire M-1'!#REF!="TCN",'Inventaire M-1'!#REF!=""),"-",'Inventaire M-1'!#REF!)</f>
        <v>#REF!</v>
      </c>
      <c r="T49" s="175"/>
      <c r="U49" s="175" t="e">
        <f>IF(R49="-","",INDEX('Inventaire M-1'!$A$2:$AG$9334,MATCH(R49,'Inventaire M-1'!$A:$A,0)-1,MATCH("Cours EUR",'Inventaire M-1'!#REF!,0)))</f>
        <v>#REF!</v>
      </c>
      <c r="V49" s="175" t="e">
        <f>IF(R49="-","",IF(ISERROR(INDEX('Inventaire M'!$A$2:$AD$9319,MATCH(R49,'Inventaire M'!$A:$A,0)-1,MATCH("Cours EUR",'Inventaire M'!#REF!,0))),"Sell",INDEX('Inventaire M'!$A$2:$AD$9319,MATCH(R49,'Inventaire M'!$A:$A,0)-1,MATCH("Cours EUR",'Inventaire M'!#REF!,0))))</f>
        <v>#REF!</v>
      </c>
      <c r="W49" s="175"/>
      <c r="X49" s="156" t="e">
        <f>IF(R49="-","",INDEX('Inventaire M-1'!$A$2:$AG$9334,MATCH(R49,'Inventaire M-1'!$A:$A,0)-1,MATCH("quantite",'Inventaire M-1'!#REF!,0)))</f>
        <v>#REF!</v>
      </c>
      <c r="Y49" s="156" t="e">
        <f>IF(S49="-","",IF(ISERROR(INDEX('Inventaire M'!$A$2:$AD$9319,MATCH(R49,'Inventaire M'!$A:$A,0)-1,MATCH("quantite",'Inventaire M'!#REF!,0))),"Sell",INDEX('Inventaire M'!$A$2:$AD$9319,MATCH(R49,'Inventaire M'!$A:$A,0)-1,MATCH("quantite",'Inventaire M'!#REF!,0))))</f>
        <v>#REF!</v>
      </c>
      <c r="Z49" s="175"/>
      <c r="AA49" s="155" t="e">
        <f>IF(R49="-","",INDEX('Inventaire M-1'!$A$2:$AG$9334,MATCH(R49,'Inventaire M-1'!$A:$A,0)-1,MATCH("poids",'Inventaire M-1'!#REF!,0)))</f>
        <v>#REF!</v>
      </c>
      <c r="AB49" s="155" t="e">
        <f>IF(R49="-","",IF(ISERROR(INDEX('Inventaire M'!$A$2:$AD$9319,MATCH(R49,'Inventaire M'!$A:$A,0)-1,MATCH("poids",'Inventaire M'!#REF!,0))),"Sell",INDEX('Inventaire M'!$A$2:$AD$9319,MATCH(R49,'Inventaire M'!$A:$A,0)-1,MATCH("poids",'Inventaire M'!#REF!,0))))</f>
        <v>#REF!</v>
      </c>
      <c r="AC49" s="175"/>
      <c r="AD49" s="157" t="str">
        <f t="shared" si="3"/>
        <v>0</v>
      </c>
      <c r="AE49" s="98" t="str">
        <f t="shared" si="4"/>
        <v/>
      </c>
      <c r="AF49" s="80" t="e">
        <f t="shared" si="5"/>
        <v>#REF!</v>
      </c>
    </row>
    <row r="50" spans="2:32" outlineLevel="1">
      <c r="B50" s="175" t="e">
        <f>IF(OR('Inventaire M'!#REF!="Dispo/Liquidité Investie",'Inventaire M'!#REF!="Option/Future",'Inventaire M'!#REF!="TCN",'Inventaire M'!#REF!=""),"-",'Inventaire M'!#REF!)</f>
        <v>#REF!</v>
      </c>
      <c r="C50" s="175" t="e">
        <f>IF(OR('Inventaire M'!#REF!="Dispo/Liquidité Investie",'Inventaire M'!#REF!="Option/Future",'Inventaire M'!#REF!="TCN",'Inventaire M'!#REF!=""),"-",'Inventaire M'!#REF!)</f>
        <v>#REF!</v>
      </c>
      <c r="D50" s="175"/>
      <c r="E50" s="175" t="e">
        <f>IF(B50="-","",INDEX('Inventaire M'!$A$2:$AW$9305,MATCH(B50,'Inventaire M'!$A:$A,0)-1,MATCH("Cours EUR",'Inventaire M'!#REF!,0)))</f>
        <v>#REF!</v>
      </c>
      <c r="F50" s="175" t="e">
        <f>IF(B50="-","",IF(ISERROR(INDEX('Inventaire M-1'!$A$2:$AZ$9320,MATCH(B50,'Inventaire M-1'!$A:$A,0)-1,MATCH("Cours EUR",'Inventaire M-1'!#REF!,0))),"Buy",INDEX('Inventaire M-1'!$A$2:$AZ$9320,MATCH(B50,'Inventaire M-1'!$A:$A,0)-1,MATCH("Cours EUR",'Inventaire M-1'!#REF!,0))))</f>
        <v>#REF!</v>
      </c>
      <c r="G50" s="175"/>
      <c r="H50" s="156" t="e">
        <f>IF(B50="-","",INDEX('Inventaire M'!$A$2:$AW$9305,MATCH(B50,'Inventaire M'!$A:$A,0)-1,MATCH("quantite",'Inventaire M'!#REF!,0)))</f>
        <v>#REF!</v>
      </c>
      <c r="I50" s="156" t="e">
        <f>IF(C50="-","",IF(ISERROR(INDEX('Inventaire M-1'!$A$2:$AZ$9320,MATCH(B50,'Inventaire M-1'!$A:$A,0)-1,MATCH("quantite",'Inventaire M-1'!#REF!,0))),"Buy",INDEX('Inventaire M-1'!$A$2:$AZ$9320,MATCH(B50,'Inventaire M-1'!$A:$A,0)-1,MATCH("quantite",'Inventaire M-1'!#REF!,0))))</f>
        <v>#REF!</v>
      </c>
      <c r="J50" s="175"/>
      <c r="K50" s="155" t="e">
        <f>IF(B50="-","",INDEX('Inventaire M'!$A$2:$AW$9305,MATCH(B50,'Inventaire M'!$A:$A,0)-1,MATCH("poids",'Inventaire M'!#REF!,0)))</f>
        <v>#REF!</v>
      </c>
      <c r="L50" s="155" t="e">
        <f>IF(B50="-","",IF(ISERROR(INDEX('Inventaire M-1'!$A$2:$AZ$9320,MATCH(B50,'Inventaire M-1'!$A:$A,0)-1,MATCH("poids",'Inventaire M-1'!#REF!,0))),"Buy",INDEX('Inventaire M-1'!$A$2:$AZ$9320,MATCH(B50,'Inventaire M-1'!$A:$A,0)-1,MATCH("poids",'Inventaire M-1'!#REF!,0))))</f>
        <v>#REF!</v>
      </c>
      <c r="M50" s="175"/>
      <c r="N50" s="157" t="str">
        <f t="shared" si="0"/>
        <v>0</v>
      </c>
      <c r="O50" s="98" t="str">
        <f t="shared" si="1"/>
        <v/>
      </c>
      <c r="P50" s="80" t="e">
        <f t="shared" si="2"/>
        <v>#REF!</v>
      </c>
      <c r="Q50" s="75">
        <v>2.6000000000000001E-9</v>
      </c>
      <c r="R50" s="175" t="e">
        <f>IF(OR('Inventaire M-1'!#REF!="Dispo/Liquidité Investie",'Inventaire M-1'!#REF!="Option/Future",'Inventaire M-1'!#REF!="TCN",'Inventaire M-1'!#REF!=""),"-",'Inventaire M-1'!#REF!)</f>
        <v>#REF!</v>
      </c>
      <c r="S50" s="175" t="e">
        <f>IF(OR('Inventaire M-1'!#REF!="Dispo/Liquidité Investie",'Inventaire M-1'!#REF!="Option/Future",'Inventaire M-1'!#REF!="TCN",'Inventaire M-1'!#REF!=""),"-",'Inventaire M-1'!#REF!)</f>
        <v>#REF!</v>
      </c>
      <c r="T50" s="175"/>
      <c r="U50" s="175" t="e">
        <f>IF(R50="-","",INDEX('Inventaire M-1'!$A$2:$AG$9334,MATCH(R50,'Inventaire M-1'!$A:$A,0)-1,MATCH("Cours EUR",'Inventaire M-1'!#REF!,0)))</f>
        <v>#REF!</v>
      </c>
      <c r="V50" s="175" t="e">
        <f>IF(R50="-","",IF(ISERROR(INDEX('Inventaire M'!$A$2:$AD$9319,MATCH(R50,'Inventaire M'!$A:$A,0)-1,MATCH("Cours EUR",'Inventaire M'!#REF!,0))),"Sell",INDEX('Inventaire M'!$A$2:$AD$9319,MATCH(R50,'Inventaire M'!$A:$A,0)-1,MATCH("Cours EUR",'Inventaire M'!#REF!,0))))</f>
        <v>#REF!</v>
      </c>
      <c r="W50" s="175"/>
      <c r="X50" s="156" t="e">
        <f>IF(R50="-","",INDEX('Inventaire M-1'!$A$2:$AG$9334,MATCH(R50,'Inventaire M-1'!$A:$A,0)-1,MATCH("quantite",'Inventaire M-1'!#REF!,0)))</f>
        <v>#REF!</v>
      </c>
      <c r="Y50" s="156" t="e">
        <f>IF(S50="-","",IF(ISERROR(INDEX('Inventaire M'!$A$2:$AD$9319,MATCH(R50,'Inventaire M'!$A:$A,0)-1,MATCH("quantite",'Inventaire M'!#REF!,0))),"Sell",INDEX('Inventaire M'!$A$2:$AD$9319,MATCH(R50,'Inventaire M'!$A:$A,0)-1,MATCH("quantite",'Inventaire M'!#REF!,0))))</f>
        <v>#REF!</v>
      </c>
      <c r="Z50" s="175"/>
      <c r="AA50" s="155" t="e">
        <f>IF(R50="-","",INDEX('Inventaire M-1'!$A$2:$AG$9334,MATCH(R50,'Inventaire M-1'!$A:$A,0)-1,MATCH("poids",'Inventaire M-1'!#REF!,0)))</f>
        <v>#REF!</v>
      </c>
      <c r="AB50" s="155" t="e">
        <f>IF(R50="-","",IF(ISERROR(INDEX('Inventaire M'!$A$2:$AD$9319,MATCH(R50,'Inventaire M'!$A:$A,0)-1,MATCH("poids",'Inventaire M'!#REF!,0))),"Sell",INDEX('Inventaire M'!$A$2:$AD$9319,MATCH(R50,'Inventaire M'!$A:$A,0)-1,MATCH("poids",'Inventaire M'!#REF!,0))))</f>
        <v>#REF!</v>
      </c>
      <c r="AC50" s="175"/>
      <c r="AD50" s="157" t="str">
        <f t="shared" si="3"/>
        <v>0</v>
      </c>
      <c r="AE50" s="98" t="str">
        <f t="shared" si="4"/>
        <v/>
      </c>
      <c r="AF50" s="80" t="e">
        <f t="shared" si="5"/>
        <v>#REF!</v>
      </c>
    </row>
    <row r="51" spans="2:32" outlineLevel="1">
      <c r="B51" s="175" t="e">
        <f>IF(OR('Inventaire M'!#REF!="Dispo/Liquidité Investie",'Inventaire M'!#REF!="Option/Future",'Inventaire M'!#REF!="TCN",'Inventaire M'!#REF!=""),"-",'Inventaire M'!#REF!)</f>
        <v>#REF!</v>
      </c>
      <c r="C51" s="175" t="e">
        <f>IF(OR('Inventaire M'!#REF!="Dispo/Liquidité Investie",'Inventaire M'!#REF!="Option/Future",'Inventaire M'!#REF!="TCN",'Inventaire M'!#REF!=""),"-",'Inventaire M'!#REF!)</f>
        <v>#REF!</v>
      </c>
      <c r="D51" s="175"/>
      <c r="E51" s="175" t="e">
        <f>IF(B51="-","",INDEX('Inventaire M'!$A$2:$AW$9305,MATCH(B51,'Inventaire M'!$A:$A,0)-1,MATCH("Cours EUR",'Inventaire M'!#REF!,0)))</f>
        <v>#REF!</v>
      </c>
      <c r="F51" s="175" t="e">
        <f>IF(B51="-","",IF(ISERROR(INDEX('Inventaire M-1'!$A$2:$AZ$9320,MATCH(B51,'Inventaire M-1'!$A:$A,0)-1,MATCH("Cours EUR",'Inventaire M-1'!#REF!,0))),"Buy",INDEX('Inventaire M-1'!$A$2:$AZ$9320,MATCH(B51,'Inventaire M-1'!$A:$A,0)-1,MATCH("Cours EUR",'Inventaire M-1'!#REF!,0))))</f>
        <v>#REF!</v>
      </c>
      <c r="G51" s="175"/>
      <c r="H51" s="156" t="e">
        <f>IF(B51="-","",INDEX('Inventaire M'!$A$2:$AW$9305,MATCH(B51,'Inventaire M'!$A:$A,0)-1,MATCH("quantite",'Inventaire M'!#REF!,0)))</f>
        <v>#REF!</v>
      </c>
      <c r="I51" s="156" t="e">
        <f>IF(C51="-","",IF(ISERROR(INDEX('Inventaire M-1'!$A$2:$AZ$9320,MATCH(B51,'Inventaire M-1'!$A:$A,0)-1,MATCH("quantite",'Inventaire M-1'!#REF!,0))),"Buy",INDEX('Inventaire M-1'!$A$2:$AZ$9320,MATCH(B51,'Inventaire M-1'!$A:$A,0)-1,MATCH("quantite",'Inventaire M-1'!#REF!,0))))</f>
        <v>#REF!</v>
      </c>
      <c r="J51" s="175"/>
      <c r="K51" s="155" t="e">
        <f>IF(B51="-","",INDEX('Inventaire M'!$A$2:$AW$9305,MATCH(B51,'Inventaire M'!$A:$A,0)-1,MATCH("poids",'Inventaire M'!#REF!,0)))</f>
        <v>#REF!</v>
      </c>
      <c r="L51" s="155" t="e">
        <f>IF(B51="-","",IF(ISERROR(INDEX('Inventaire M-1'!$A$2:$AZ$9320,MATCH(B51,'Inventaire M-1'!$A:$A,0)-1,MATCH("poids",'Inventaire M-1'!#REF!,0))),"Buy",INDEX('Inventaire M-1'!$A$2:$AZ$9320,MATCH(B51,'Inventaire M-1'!$A:$A,0)-1,MATCH("poids",'Inventaire M-1'!#REF!,0))))</f>
        <v>#REF!</v>
      </c>
      <c r="M51" s="175"/>
      <c r="N51" s="157" t="str">
        <f t="shared" si="0"/>
        <v>0</v>
      </c>
      <c r="O51" s="98" t="str">
        <f t="shared" si="1"/>
        <v/>
      </c>
      <c r="P51" s="80" t="e">
        <f t="shared" si="2"/>
        <v>#REF!</v>
      </c>
      <c r="Q51" s="75">
        <v>2.7000000000000002E-9</v>
      </c>
      <c r="R51" s="175" t="e">
        <f>IF(OR('Inventaire M-1'!#REF!="Dispo/Liquidité Investie",'Inventaire M-1'!#REF!="Option/Future",'Inventaire M-1'!#REF!="TCN",'Inventaire M-1'!#REF!=""),"-",'Inventaire M-1'!#REF!)</f>
        <v>#REF!</v>
      </c>
      <c r="S51" s="175" t="e">
        <f>IF(OR('Inventaire M-1'!#REF!="Dispo/Liquidité Investie",'Inventaire M-1'!#REF!="Option/Future",'Inventaire M-1'!#REF!="TCN",'Inventaire M-1'!#REF!=""),"-",'Inventaire M-1'!#REF!)</f>
        <v>#REF!</v>
      </c>
      <c r="T51" s="175"/>
      <c r="U51" s="175" t="e">
        <f>IF(R51="-","",INDEX('Inventaire M-1'!$A$2:$AG$9334,MATCH(R51,'Inventaire M-1'!$A:$A,0)-1,MATCH("Cours EUR",'Inventaire M-1'!#REF!,0)))</f>
        <v>#REF!</v>
      </c>
      <c r="V51" s="175" t="e">
        <f>IF(R51="-","",IF(ISERROR(INDEX('Inventaire M'!$A$2:$AD$9319,MATCH(R51,'Inventaire M'!$A:$A,0)-1,MATCH("Cours EUR",'Inventaire M'!#REF!,0))),"Sell",INDEX('Inventaire M'!$A$2:$AD$9319,MATCH(R51,'Inventaire M'!$A:$A,0)-1,MATCH("Cours EUR",'Inventaire M'!#REF!,0))))</f>
        <v>#REF!</v>
      </c>
      <c r="W51" s="175"/>
      <c r="X51" s="156" t="e">
        <f>IF(R51="-","",INDEX('Inventaire M-1'!$A$2:$AG$9334,MATCH(R51,'Inventaire M-1'!$A:$A,0)-1,MATCH("quantite",'Inventaire M-1'!#REF!,0)))</f>
        <v>#REF!</v>
      </c>
      <c r="Y51" s="156" t="e">
        <f>IF(S51="-","",IF(ISERROR(INDEX('Inventaire M'!$A$2:$AD$9319,MATCH(R51,'Inventaire M'!$A:$A,0)-1,MATCH("quantite",'Inventaire M'!#REF!,0))),"Sell",INDEX('Inventaire M'!$A$2:$AD$9319,MATCH(R51,'Inventaire M'!$A:$A,0)-1,MATCH("quantite",'Inventaire M'!#REF!,0))))</f>
        <v>#REF!</v>
      </c>
      <c r="Z51" s="175"/>
      <c r="AA51" s="155" t="e">
        <f>IF(R51="-","",INDEX('Inventaire M-1'!$A$2:$AG$9334,MATCH(R51,'Inventaire M-1'!$A:$A,0)-1,MATCH("poids",'Inventaire M-1'!#REF!,0)))</f>
        <v>#REF!</v>
      </c>
      <c r="AB51" s="155" t="e">
        <f>IF(R51="-","",IF(ISERROR(INDEX('Inventaire M'!$A$2:$AD$9319,MATCH(R51,'Inventaire M'!$A:$A,0)-1,MATCH("poids",'Inventaire M'!#REF!,0))),"Sell",INDEX('Inventaire M'!$A$2:$AD$9319,MATCH(R51,'Inventaire M'!$A:$A,0)-1,MATCH("poids",'Inventaire M'!#REF!,0))))</f>
        <v>#REF!</v>
      </c>
      <c r="AC51" s="175"/>
      <c r="AD51" s="157" t="str">
        <f t="shared" si="3"/>
        <v>0</v>
      </c>
      <c r="AE51" s="98" t="str">
        <f t="shared" si="4"/>
        <v/>
      </c>
      <c r="AF51" s="80" t="e">
        <f t="shared" si="5"/>
        <v>#REF!</v>
      </c>
    </row>
    <row r="52" spans="2:32" outlineLevel="1">
      <c r="B52" s="175" t="e">
        <f>IF(OR('Inventaire M'!#REF!="Dispo/Liquidité Investie",'Inventaire M'!#REF!="Option/Future",'Inventaire M'!#REF!="TCN",'Inventaire M'!#REF!=""),"-",'Inventaire M'!#REF!)</f>
        <v>#REF!</v>
      </c>
      <c r="C52" s="175" t="e">
        <f>IF(OR('Inventaire M'!#REF!="Dispo/Liquidité Investie",'Inventaire M'!#REF!="Option/Future",'Inventaire M'!#REF!="TCN",'Inventaire M'!#REF!=""),"-",'Inventaire M'!#REF!)</f>
        <v>#REF!</v>
      </c>
      <c r="D52" s="175"/>
      <c r="E52" s="175" t="e">
        <f>IF(B52="-","",INDEX('Inventaire M'!$A$2:$AW$9305,MATCH(B52,'Inventaire M'!$A:$A,0)-1,MATCH("Cours EUR",'Inventaire M'!#REF!,0)))</f>
        <v>#REF!</v>
      </c>
      <c r="F52" s="175" t="e">
        <f>IF(B52="-","",IF(ISERROR(INDEX('Inventaire M-1'!$A$2:$AZ$9320,MATCH(B52,'Inventaire M-1'!$A:$A,0)-1,MATCH("Cours EUR",'Inventaire M-1'!#REF!,0))),"Buy",INDEX('Inventaire M-1'!$A$2:$AZ$9320,MATCH(B52,'Inventaire M-1'!$A:$A,0)-1,MATCH("Cours EUR",'Inventaire M-1'!#REF!,0))))</f>
        <v>#REF!</v>
      </c>
      <c r="G52" s="175"/>
      <c r="H52" s="156" t="e">
        <f>IF(B52="-","",INDEX('Inventaire M'!$A$2:$AW$9305,MATCH(B52,'Inventaire M'!$A:$A,0)-1,MATCH("quantite",'Inventaire M'!#REF!,0)))</f>
        <v>#REF!</v>
      </c>
      <c r="I52" s="156" t="e">
        <f>IF(C52="-","",IF(ISERROR(INDEX('Inventaire M-1'!$A$2:$AZ$9320,MATCH(B52,'Inventaire M-1'!$A:$A,0)-1,MATCH("quantite",'Inventaire M-1'!#REF!,0))),"Buy",INDEX('Inventaire M-1'!$A$2:$AZ$9320,MATCH(B52,'Inventaire M-1'!$A:$A,0)-1,MATCH("quantite",'Inventaire M-1'!#REF!,0))))</f>
        <v>#REF!</v>
      </c>
      <c r="J52" s="175"/>
      <c r="K52" s="155" t="e">
        <f>IF(B52="-","",INDEX('Inventaire M'!$A$2:$AW$9305,MATCH(B52,'Inventaire M'!$A:$A,0)-1,MATCH("poids",'Inventaire M'!#REF!,0)))</f>
        <v>#REF!</v>
      </c>
      <c r="L52" s="155" t="e">
        <f>IF(B52="-","",IF(ISERROR(INDEX('Inventaire M-1'!$A$2:$AZ$9320,MATCH(B52,'Inventaire M-1'!$A:$A,0)-1,MATCH("poids",'Inventaire M-1'!#REF!,0))),"Buy",INDEX('Inventaire M-1'!$A$2:$AZ$9320,MATCH(B52,'Inventaire M-1'!$A:$A,0)-1,MATCH("poids",'Inventaire M-1'!#REF!,0))))</f>
        <v>#REF!</v>
      </c>
      <c r="M52" s="175"/>
      <c r="N52" s="157" t="str">
        <f t="shared" si="0"/>
        <v>0</v>
      </c>
      <c r="O52" s="98" t="str">
        <f t="shared" si="1"/>
        <v/>
      </c>
      <c r="P52" s="80" t="e">
        <f t="shared" si="2"/>
        <v>#REF!</v>
      </c>
      <c r="Q52" s="75">
        <v>2.7999999999999998E-9</v>
      </c>
      <c r="R52" s="175" t="e">
        <f>IF(OR('Inventaire M-1'!#REF!="Dispo/Liquidité Investie",'Inventaire M-1'!#REF!="Option/Future",'Inventaire M-1'!#REF!="TCN",'Inventaire M-1'!#REF!=""),"-",'Inventaire M-1'!#REF!)</f>
        <v>#REF!</v>
      </c>
      <c r="S52" s="175" t="e">
        <f>IF(OR('Inventaire M-1'!#REF!="Dispo/Liquidité Investie",'Inventaire M-1'!#REF!="Option/Future",'Inventaire M-1'!#REF!="TCN",'Inventaire M-1'!#REF!=""),"-",'Inventaire M-1'!#REF!)</f>
        <v>#REF!</v>
      </c>
      <c r="T52" s="175"/>
      <c r="U52" s="175" t="e">
        <f>IF(R52="-","",INDEX('Inventaire M-1'!$A$2:$AG$9334,MATCH(R52,'Inventaire M-1'!$A:$A,0)-1,MATCH("Cours EUR",'Inventaire M-1'!#REF!,0)))</f>
        <v>#REF!</v>
      </c>
      <c r="V52" s="175" t="e">
        <f>IF(R52="-","",IF(ISERROR(INDEX('Inventaire M'!$A$2:$AD$9319,MATCH(R52,'Inventaire M'!$A:$A,0)-1,MATCH("Cours EUR",'Inventaire M'!#REF!,0))),"Sell",INDEX('Inventaire M'!$A$2:$AD$9319,MATCH(R52,'Inventaire M'!$A:$A,0)-1,MATCH("Cours EUR",'Inventaire M'!#REF!,0))))</f>
        <v>#REF!</v>
      </c>
      <c r="W52" s="175"/>
      <c r="X52" s="156" t="e">
        <f>IF(R52="-","",INDEX('Inventaire M-1'!$A$2:$AG$9334,MATCH(R52,'Inventaire M-1'!$A:$A,0)-1,MATCH("quantite",'Inventaire M-1'!#REF!,0)))</f>
        <v>#REF!</v>
      </c>
      <c r="Y52" s="156" t="e">
        <f>IF(S52="-","",IF(ISERROR(INDEX('Inventaire M'!$A$2:$AD$9319,MATCH(R52,'Inventaire M'!$A:$A,0)-1,MATCH("quantite",'Inventaire M'!#REF!,0))),"Sell",INDEX('Inventaire M'!$A$2:$AD$9319,MATCH(R52,'Inventaire M'!$A:$A,0)-1,MATCH("quantite",'Inventaire M'!#REF!,0))))</f>
        <v>#REF!</v>
      </c>
      <c r="Z52" s="175"/>
      <c r="AA52" s="155" t="e">
        <f>IF(R52="-","",INDEX('Inventaire M-1'!$A$2:$AG$9334,MATCH(R52,'Inventaire M-1'!$A:$A,0)-1,MATCH("poids",'Inventaire M-1'!#REF!,0)))</f>
        <v>#REF!</v>
      </c>
      <c r="AB52" s="155" t="e">
        <f>IF(R52="-","",IF(ISERROR(INDEX('Inventaire M'!$A$2:$AD$9319,MATCH(R52,'Inventaire M'!$A:$A,0)-1,MATCH("poids",'Inventaire M'!#REF!,0))),"Sell",INDEX('Inventaire M'!$A$2:$AD$9319,MATCH(R52,'Inventaire M'!$A:$A,0)-1,MATCH("poids",'Inventaire M'!#REF!,0))))</f>
        <v>#REF!</v>
      </c>
      <c r="AC52" s="175"/>
      <c r="AD52" s="157" t="str">
        <f t="shared" si="3"/>
        <v>0</v>
      </c>
      <c r="AE52" s="98" t="str">
        <f t="shared" si="4"/>
        <v/>
      </c>
      <c r="AF52" s="80" t="e">
        <f t="shared" si="5"/>
        <v>#REF!</v>
      </c>
    </row>
    <row r="53" spans="2:32" outlineLevel="1">
      <c r="B53" s="175" t="e">
        <f>IF(OR('Inventaire M'!#REF!="Dispo/Liquidité Investie",'Inventaire M'!#REF!="Option/Future",'Inventaire M'!#REF!="TCN",'Inventaire M'!#REF!=""),"-",'Inventaire M'!#REF!)</f>
        <v>#REF!</v>
      </c>
      <c r="C53" s="175" t="e">
        <f>IF(OR('Inventaire M'!#REF!="Dispo/Liquidité Investie",'Inventaire M'!#REF!="Option/Future",'Inventaire M'!#REF!="TCN",'Inventaire M'!#REF!=""),"-",'Inventaire M'!#REF!)</f>
        <v>#REF!</v>
      </c>
      <c r="D53" s="175"/>
      <c r="E53" s="175" t="e">
        <f>IF(B53="-","",INDEX('Inventaire M'!$A$2:$AW$9305,MATCH(B53,'Inventaire M'!$A:$A,0)-1,MATCH("Cours EUR",'Inventaire M'!#REF!,0)))</f>
        <v>#REF!</v>
      </c>
      <c r="F53" s="175" t="e">
        <f>IF(B53="-","",IF(ISERROR(INDEX('Inventaire M-1'!$A$2:$AZ$9320,MATCH(B53,'Inventaire M-1'!$A:$A,0)-1,MATCH("Cours EUR",'Inventaire M-1'!#REF!,0))),"Buy",INDEX('Inventaire M-1'!$A$2:$AZ$9320,MATCH(B53,'Inventaire M-1'!$A:$A,0)-1,MATCH("Cours EUR",'Inventaire M-1'!#REF!,0))))</f>
        <v>#REF!</v>
      </c>
      <c r="G53" s="175"/>
      <c r="H53" s="156" t="e">
        <f>IF(B53="-","",INDEX('Inventaire M'!$A$2:$AW$9305,MATCH(B53,'Inventaire M'!$A:$A,0)-1,MATCH("quantite",'Inventaire M'!#REF!,0)))</f>
        <v>#REF!</v>
      </c>
      <c r="I53" s="156" t="e">
        <f>IF(C53="-","",IF(ISERROR(INDEX('Inventaire M-1'!$A$2:$AZ$9320,MATCH(B53,'Inventaire M-1'!$A:$A,0)-1,MATCH("quantite",'Inventaire M-1'!#REF!,0))),"Buy",INDEX('Inventaire M-1'!$A$2:$AZ$9320,MATCH(B53,'Inventaire M-1'!$A:$A,0)-1,MATCH("quantite",'Inventaire M-1'!#REF!,0))))</f>
        <v>#REF!</v>
      </c>
      <c r="J53" s="175"/>
      <c r="K53" s="155" t="e">
        <f>IF(B53="-","",INDEX('Inventaire M'!$A$2:$AW$9305,MATCH(B53,'Inventaire M'!$A:$A,0)-1,MATCH("poids",'Inventaire M'!#REF!,0)))</f>
        <v>#REF!</v>
      </c>
      <c r="L53" s="155" t="e">
        <f>IF(B53="-","",IF(ISERROR(INDEX('Inventaire M-1'!$A$2:$AZ$9320,MATCH(B53,'Inventaire M-1'!$A:$A,0)-1,MATCH("poids",'Inventaire M-1'!#REF!,0))),"Buy",INDEX('Inventaire M-1'!$A$2:$AZ$9320,MATCH(B53,'Inventaire M-1'!$A:$A,0)-1,MATCH("poids",'Inventaire M-1'!#REF!,0))))</f>
        <v>#REF!</v>
      </c>
      <c r="M53" s="175"/>
      <c r="N53" s="157" t="str">
        <f t="shared" si="0"/>
        <v>0</v>
      </c>
      <c r="O53" s="98" t="str">
        <f t="shared" si="1"/>
        <v/>
      </c>
      <c r="P53" s="80" t="e">
        <f t="shared" si="2"/>
        <v>#REF!</v>
      </c>
      <c r="Q53" s="75">
        <v>2.8999999999999999E-9</v>
      </c>
      <c r="R53" s="175" t="e">
        <f>IF(OR('Inventaire M-1'!#REF!="Dispo/Liquidité Investie",'Inventaire M-1'!#REF!="Option/Future",'Inventaire M-1'!#REF!="TCN",'Inventaire M-1'!#REF!=""),"-",'Inventaire M-1'!#REF!)</f>
        <v>#REF!</v>
      </c>
      <c r="S53" s="175" t="e">
        <f>IF(OR('Inventaire M-1'!#REF!="Dispo/Liquidité Investie",'Inventaire M-1'!#REF!="Option/Future",'Inventaire M-1'!#REF!="TCN",'Inventaire M-1'!#REF!=""),"-",'Inventaire M-1'!#REF!)</f>
        <v>#REF!</v>
      </c>
      <c r="T53" s="175"/>
      <c r="U53" s="175" t="e">
        <f>IF(R53="-","",INDEX('Inventaire M-1'!$A$2:$AG$9334,MATCH(R53,'Inventaire M-1'!$A:$A,0)-1,MATCH("Cours EUR",'Inventaire M-1'!#REF!,0)))</f>
        <v>#REF!</v>
      </c>
      <c r="V53" s="175" t="e">
        <f>IF(R53="-","",IF(ISERROR(INDEX('Inventaire M'!$A$2:$AD$9319,MATCH(R53,'Inventaire M'!$A:$A,0)-1,MATCH("Cours EUR",'Inventaire M'!#REF!,0))),"Sell",INDEX('Inventaire M'!$A$2:$AD$9319,MATCH(R53,'Inventaire M'!$A:$A,0)-1,MATCH("Cours EUR",'Inventaire M'!#REF!,0))))</f>
        <v>#REF!</v>
      </c>
      <c r="W53" s="175"/>
      <c r="X53" s="156" t="e">
        <f>IF(R53="-","",INDEX('Inventaire M-1'!$A$2:$AG$9334,MATCH(R53,'Inventaire M-1'!$A:$A,0)-1,MATCH("quantite",'Inventaire M-1'!#REF!,0)))</f>
        <v>#REF!</v>
      </c>
      <c r="Y53" s="156" t="e">
        <f>IF(S53="-","",IF(ISERROR(INDEX('Inventaire M'!$A$2:$AD$9319,MATCH(R53,'Inventaire M'!$A:$A,0)-1,MATCH("quantite",'Inventaire M'!#REF!,0))),"Sell",INDEX('Inventaire M'!$A$2:$AD$9319,MATCH(R53,'Inventaire M'!$A:$A,0)-1,MATCH("quantite",'Inventaire M'!#REF!,0))))</f>
        <v>#REF!</v>
      </c>
      <c r="Z53" s="175"/>
      <c r="AA53" s="155" t="e">
        <f>IF(R53="-","",INDEX('Inventaire M-1'!$A$2:$AG$9334,MATCH(R53,'Inventaire M-1'!$A:$A,0)-1,MATCH("poids",'Inventaire M-1'!#REF!,0)))</f>
        <v>#REF!</v>
      </c>
      <c r="AB53" s="155" t="e">
        <f>IF(R53="-","",IF(ISERROR(INDEX('Inventaire M'!$A$2:$AD$9319,MATCH(R53,'Inventaire M'!$A:$A,0)-1,MATCH("poids",'Inventaire M'!#REF!,0))),"Sell",INDEX('Inventaire M'!$A$2:$AD$9319,MATCH(R53,'Inventaire M'!$A:$A,0)-1,MATCH("poids",'Inventaire M'!#REF!,0))))</f>
        <v>#REF!</v>
      </c>
      <c r="AC53" s="175"/>
      <c r="AD53" s="157" t="str">
        <f t="shared" si="3"/>
        <v>0</v>
      </c>
      <c r="AE53" s="98" t="str">
        <f t="shared" si="4"/>
        <v/>
      </c>
      <c r="AF53" s="80" t="e">
        <f t="shared" si="5"/>
        <v>#REF!</v>
      </c>
    </row>
    <row r="54" spans="2:32" outlineLevel="1">
      <c r="B54" s="175" t="e">
        <f>IF(OR('Inventaire M'!#REF!="Dispo/Liquidité Investie",'Inventaire M'!#REF!="Option/Future",'Inventaire M'!#REF!="TCN",'Inventaire M'!#REF!=""),"-",'Inventaire M'!#REF!)</f>
        <v>#REF!</v>
      </c>
      <c r="C54" s="175" t="e">
        <f>IF(OR('Inventaire M'!#REF!="Dispo/Liquidité Investie",'Inventaire M'!#REF!="Option/Future",'Inventaire M'!#REF!="TCN",'Inventaire M'!#REF!=""),"-",'Inventaire M'!#REF!)</f>
        <v>#REF!</v>
      </c>
      <c r="D54" s="175"/>
      <c r="E54" s="175" t="e">
        <f>IF(B54="-","",INDEX('Inventaire M'!$A$2:$AW$9305,MATCH(B54,'Inventaire M'!$A:$A,0)-1,MATCH("Cours EUR",'Inventaire M'!#REF!,0)))</f>
        <v>#REF!</v>
      </c>
      <c r="F54" s="175" t="e">
        <f>IF(B54="-","",IF(ISERROR(INDEX('Inventaire M-1'!$A$2:$AZ$9320,MATCH(B54,'Inventaire M-1'!$A:$A,0)-1,MATCH("Cours EUR",'Inventaire M-1'!#REF!,0))),"Buy",INDEX('Inventaire M-1'!$A$2:$AZ$9320,MATCH(B54,'Inventaire M-1'!$A:$A,0)-1,MATCH("Cours EUR",'Inventaire M-1'!#REF!,0))))</f>
        <v>#REF!</v>
      </c>
      <c r="G54" s="175"/>
      <c r="H54" s="156" t="e">
        <f>IF(B54="-","",INDEX('Inventaire M'!$A$2:$AW$9305,MATCH(B54,'Inventaire M'!$A:$A,0)-1,MATCH("quantite",'Inventaire M'!#REF!,0)))</f>
        <v>#REF!</v>
      </c>
      <c r="I54" s="156" t="e">
        <f>IF(C54="-","",IF(ISERROR(INDEX('Inventaire M-1'!$A$2:$AZ$9320,MATCH(B54,'Inventaire M-1'!$A:$A,0)-1,MATCH("quantite",'Inventaire M-1'!#REF!,0))),"Buy",INDEX('Inventaire M-1'!$A$2:$AZ$9320,MATCH(B54,'Inventaire M-1'!$A:$A,0)-1,MATCH("quantite",'Inventaire M-1'!#REF!,0))))</f>
        <v>#REF!</v>
      </c>
      <c r="J54" s="175"/>
      <c r="K54" s="155" t="e">
        <f>IF(B54="-","",INDEX('Inventaire M'!$A$2:$AW$9305,MATCH(B54,'Inventaire M'!$A:$A,0)-1,MATCH("poids",'Inventaire M'!#REF!,0)))</f>
        <v>#REF!</v>
      </c>
      <c r="L54" s="155" t="e">
        <f>IF(B54="-","",IF(ISERROR(INDEX('Inventaire M-1'!$A$2:$AZ$9320,MATCH(B54,'Inventaire M-1'!$A:$A,0)-1,MATCH("poids",'Inventaire M-1'!#REF!,0))),"Buy",INDEX('Inventaire M-1'!$A$2:$AZ$9320,MATCH(B54,'Inventaire M-1'!$A:$A,0)-1,MATCH("poids",'Inventaire M-1'!#REF!,0))))</f>
        <v>#REF!</v>
      </c>
      <c r="M54" s="175"/>
      <c r="N54" s="157" t="str">
        <f t="shared" si="0"/>
        <v>0</v>
      </c>
      <c r="O54" s="98" t="str">
        <f t="shared" si="1"/>
        <v/>
      </c>
      <c r="P54" s="80" t="e">
        <f t="shared" si="2"/>
        <v>#REF!</v>
      </c>
      <c r="Q54" s="75">
        <v>3E-9</v>
      </c>
      <c r="R54" s="175" t="e">
        <f>IF(OR('Inventaire M-1'!#REF!="Dispo/Liquidité Investie",'Inventaire M-1'!#REF!="Option/Future",'Inventaire M-1'!#REF!="TCN",'Inventaire M-1'!#REF!=""),"-",'Inventaire M-1'!#REF!)</f>
        <v>#REF!</v>
      </c>
      <c r="S54" s="175" t="e">
        <f>IF(OR('Inventaire M-1'!#REF!="Dispo/Liquidité Investie",'Inventaire M-1'!#REF!="Option/Future",'Inventaire M-1'!#REF!="TCN",'Inventaire M-1'!#REF!=""),"-",'Inventaire M-1'!#REF!)</f>
        <v>#REF!</v>
      </c>
      <c r="T54" s="175"/>
      <c r="U54" s="175" t="e">
        <f>IF(R54="-","",INDEX('Inventaire M-1'!$A$2:$AG$9334,MATCH(R54,'Inventaire M-1'!$A:$A,0)-1,MATCH("Cours EUR",'Inventaire M-1'!#REF!,0)))</f>
        <v>#REF!</v>
      </c>
      <c r="V54" s="175" t="e">
        <f>IF(R54="-","",IF(ISERROR(INDEX('Inventaire M'!$A$2:$AD$9319,MATCH(R54,'Inventaire M'!$A:$A,0)-1,MATCH("Cours EUR",'Inventaire M'!#REF!,0))),"Sell",INDEX('Inventaire M'!$A$2:$AD$9319,MATCH(R54,'Inventaire M'!$A:$A,0)-1,MATCH("Cours EUR",'Inventaire M'!#REF!,0))))</f>
        <v>#REF!</v>
      </c>
      <c r="W54" s="175"/>
      <c r="X54" s="156" t="e">
        <f>IF(R54="-","",INDEX('Inventaire M-1'!$A$2:$AG$9334,MATCH(R54,'Inventaire M-1'!$A:$A,0)-1,MATCH("quantite",'Inventaire M-1'!#REF!,0)))</f>
        <v>#REF!</v>
      </c>
      <c r="Y54" s="156" t="e">
        <f>IF(S54="-","",IF(ISERROR(INDEX('Inventaire M'!$A$2:$AD$9319,MATCH(R54,'Inventaire M'!$A:$A,0)-1,MATCH("quantite",'Inventaire M'!#REF!,0))),"Sell",INDEX('Inventaire M'!$A$2:$AD$9319,MATCH(R54,'Inventaire M'!$A:$A,0)-1,MATCH("quantite",'Inventaire M'!#REF!,0))))</f>
        <v>#REF!</v>
      </c>
      <c r="Z54" s="175"/>
      <c r="AA54" s="155" t="e">
        <f>IF(R54="-","",INDEX('Inventaire M-1'!$A$2:$AG$9334,MATCH(R54,'Inventaire M-1'!$A:$A,0)-1,MATCH("poids",'Inventaire M-1'!#REF!,0)))</f>
        <v>#REF!</v>
      </c>
      <c r="AB54" s="155" t="e">
        <f>IF(R54="-","",IF(ISERROR(INDEX('Inventaire M'!$A$2:$AD$9319,MATCH(R54,'Inventaire M'!$A:$A,0)-1,MATCH("poids",'Inventaire M'!#REF!,0))),"Sell",INDEX('Inventaire M'!$A$2:$AD$9319,MATCH(R54,'Inventaire M'!$A:$A,0)-1,MATCH("poids",'Inventaire M'!#REF!,0))))</f>
        <v>#REF!</v>
      </c>
      <c r="AC54" s="175"/>
      <c r="AD54" s="157" t="str">
        <f t="shared" si="3"/>
        <v>0</v>
      </c>
      <c r="AE54" s="98" t="str">
        <f t="shared" si="4"/>
        <v/>
      </c>
      <c r="AF54" s="80" t="e">
        <f t="shared" si="5"/>
        <v>#REF!</v>
      </c>
    </row>
    <row r="55" spans="2:32" outlineLevel="1">
      <c r="B55" s="175" t="e">
        <f>IF(OR('Inventaire M'!#REF!="Dispo/Liquidité Investie",'Inventaire M'!#REF!="Option/Future",'Inventaire M'!#REF!="TCN",'Inventaire M'!#REF!=""),"-",'Inventaire M'!#REF!)</f>
        <v>#REF!</v>
      </c>
      <c r="C55" s="175" t="e">
        <f>IF(OR('Inventaire M'!#REF!="Dispo/Liquidité Investie",'Inventaire M'!#REF!="Option/Future",'Inventaire M'!#REF!="TCN",'Inventaire M'!#REF!=""),"-",'Inventaire M'!#REF!)</f>
        <v>#REF!</v>
      </c>
      <c r="D55" s="175"/>
      <c r="E55" s="175" t="e">
        <f>IF(B55="-","",INDEX('Inventaire M'!$A$2:$AW$9305,MATCH(B55,'Inventaire M'!$A:$A,0)-1,MATCH("Cours EUR",'Inventaire M'!#REF!,0)))</f>
        <v>#REF!</v>
      </c>
      <c r="F55" s="175" t="e">
        <f>IF(B55="-","",IF(ISERROR(INDEX('Inventaire M-1'!$A$2:$AZ$9320,MATCH(B55,'Inventaire M-1'!$A:$A,0)-1,MATCH("Cours EUR",'Inventaire M-1'!#REF!,0))),"Buy",INDEX('Inventaire M-1'!$A$2:$AZ$9320,MATCH(B55,'Inventaire M-1'!$A:$A,0)-1,MATCH("Cours EUR",'Inventaire M-1'!#REF!,0))))</f>
        <v>#REF!</v>
      </c>
      <c r="G55" s="175"/>
      <c r="H55" s="156" t="e">
        <f>IF(B55="-","",INDEX('Inventaire M'!$A$2:$AW$9305,MATCH(B55,'Inventaire M'!$A:$A,0)-1,MATCH("quantite",'Inventaire M'!#REF!,0)))</f>
        <v>#REF!</v>
      </c>
      <c r="I55" s="156" t="e">
        <f>IF(C55="-","",IF(ISERROR(INDEX('Inventaire M-1'!$A$2:$AZ$9320,MATCH(B55,'Inventaire M-1'!$A:$A,0)-1,MATCH("quantite",'Inventaire M-1'!#REF!,0))),"Buy",INDEX('Inventaire M-1'!$A$2:$AZ$9320,MATCH(B55,'Inventaire M-1'!$A:$A,0)-1,MATCH("quantite",'Inventaire M-1'!#REF!,0))))</f>
        <v>#REF!</v>
      </c>
      <c r="J55" s="175"/>
      <c r="K55" s="155" t="e">
        <f>IF(B55="-","",INDEX('Inventaire M'!$A$2:$AW$9305,MATCH(B55,'Inventaire M'!$A:$A,0)-1,MATCH("poids",'Inventaire M'!#REF!,0)))</f>
        <v>#REF!</v>
      </c>
      <c r="L55" s="155" t="e">
        <f>IF(B55="-","",IF(ISERROR(INDEX('Inventaire M-1'!$A$2:$AZ$9320,MATCH(B55,'Inventaire M-1'!$A:$A,0)-1,MATCH("poids",'Inventaire M-1'!#REF!,0))),"Buy",INDEX('Inventaire M-1'!$A$2:$AZ$9320,MATCH(B55,'Inventaire M-1'!$A:$A,0)-1,MATCH("poids",'Inventaire M-1'!#REF!,0))))</f>
        <v>#REF!</v>
      </c>
      <c r="M55" s="175"/>
      <c r="N55" s="157" t="str">
        <f t="shared" si="0"/>
        <v>0</v>
      </c>
      <c r="O55" s="98" t="str">
        <f t="shared" si="1"/>
        <v/>
      </c>
      <c r="P55" s="80" t="e">
        <f t="shared" si="2"/>
        <v>#REF!</v>
      </c>
      <c r="Q55" s="75">
        <v>3.1E-9</v>
      </c>
      <c r="R55" s="175" t="e">
        <f>IF(OR('Inventaire M-1'!#REF!="Dispo/Liquidité Investie",'Inventaire M-1'!#REF!="Option/Future",'Inventaire M-1'!#REF!="TCN",'Inventaire M-1'!#REF!=""),"-",'Inventaire M-1'!#REF!)</f>
        <v>#REF!</v>
      </c>
      <c r="S55" s="175" t="e">
        <f>IF(OR('Inventaire M-1'!#REF!="Dispo/Liquidité Investie",'Inventaire M-1'!#REF!="Option/Future",'Inventaire M-1'!#REF!="TCN",'Inventaire M-1'!#REF!=""),"-",'Inventaire M-1'!#REF!)</f>
        <v>#REF!</v>
      </c>
      <c r="T55" s="175"/>
      <c r="U55" s="175" t="e">
        <f>IF(R55="-","",INDEX('Inventaire M-1'!$A$2:$AG$9334,MATCH(R55,'Inventaire M-1'!$A:$A,0)-1,MATCH("Cours EUR",'Inventaire M-1'!#REF!,0)))</f>
        <v>#REF!</v>
      </c>
      <c r="V55" s="175" t="e">
        <f>IF(R55="-","",IF(ISERROR(INDEX('Inventaire M'!$A$2:$AD$9319,MATCH(R55,'Inventaire M'!$A:$A,0)-1,MATCH("Cours EUR",'Inventaire M'!#REF!,0))),"Sell",INDEX('Inventaire M'!$A$2:$AD$9319,MATCH(R55,'Inventaire M'!$A:$A,0)-1,MATCH("Cours EUR",'Inventaire M'!#REF!,0))))</f>
        <v>#REF!</v>
      </c>
      <c r="W55" s="175"/>
      <c r="X55" s="156" t="e">
        <f>IF(R55="-","",INDEX('Inventaire M-1'!$A$2:$AG$9334,MATCH(R55,'Inventaire M-1'!$A:$A,0)-1,MATCH("quantite",'Inventaire M-1'!#REF!,0)))</f>
        <v>#REF!</v>
      </c>
      <c r="Y55" s="156" t="e">
        <f>IF(S55="-","",IF(ISERROR(INDEX('Inventaire M'!$A$2:$AD$9319,MATCH(R55,'Inventaire M'!$A:$A,0)-1,MATCH("quantite",'Inventaire M'!#REF!,0))),"Sell",INDEX('Inventaire M'!$A$2:$AD$9319,MATCH(R55,'Inventaire M'!$A:$A,0)-1,MATCH("quantite",'Inventaire M'!#REF!,0))))</f>
        <v>#REF!</v>
      </c>
      <c r="Z55" s="175"/>
      <c r="AA55" s="155" t="e">
        <f>IF(R55="-","",INDEX('Inventaire M-1'!$A$2:$AG$9334,MATCH(R55,'Inventaire M-1'!$A:$A,0)-1,MATCH("poids",'Inventaire M-1'!#REF!,0)))</f>
        <v>#REF!</v>
      </c>
      <c r="AB55" s="155" t="e">
        <f>IF(R55="-","",IF(ISERROR(INDEX('Inventaire M'!$A$2:$AD$9319,MATCH(R55,'Inventaire M'!$A:$A,0)-1,MATCH("poids",'Inventaire M'!#REF!,0))),"Sell",INDEX('Inventaire M'!$A$2:$AD$9319,MATCH(R55,'Inventaire M'!$A:$A,0)-1,MATCH("poids",'Inventaire M'!#REF!,0))))</f>
        <v>#REF!</v>
      </c>
      <c r="AC55" s="175"/>
      <c r="AD55" s="157" t="str">
        <f t="shared" si="3"/>
        <v>0</v>
      </c>
      <c r="AE55" s="98" t="str">
        <f t="shared" si="4"/>
        <v/>
      </c>
      <c r="AF55" s="80" t="e">
        <f t="shared" si="5"/>
        <v>#REF!</v>
      </c>
    </row>
    <row r="56" spans="2:32" outlineLevel="1">
      <c r="B56" s="175" t="e">
        <f>IF(OR('Inventaire M'!#REF!="Dispo/Liquidité Investie",'Inventaire M'!#REF!="Option/Future",'Inventaire M'!#REF!="TCN",'Inventaire M'!#REF!=""),"-",'Inventaire M'!#REF!)</f>
        <v>#REF!</v>
      </c>
      <c r="C56" s="175" t="e">
        <f>IF(OR('Inventaire M'!#REF!="Dispo/Liquidité Investie",'Inventaire M'!#REF!="Option/Future",'Inventaire M'!#REF!="TCN",'Inventaire M'!#REF!=""),"-",'Inventaire M'!#REF!)</f>
        <v>#REF!</v>
      </c>
      <c r="D56" s="175"/>
      <c r="E56" s="175" t="e">
        <f>IF(B56="-","",INDEX('Inventaire M'!$A$2:$AW$9305,MATCH(B56,'Inventaire M'!$A:$A,0)-1,MATCH("Cours EUR",'Inventaire M'!#REF!,0)))</f>
        <v>#REF!</v>
      </c>
      <c r="F56" s="175" t="e">
        <f>IF(B56="-","",IF(ISERROR(INDEX('Inventaire M-1'!$A$2:$AZ$9320,MATCH(B56,'Inventaire M-1'!$A:$A,0)-1,MATCH("Cours EUR",'Inventaire M-1'!#REF!,0))),"Buy",INDEX('Inventaire M-1'!$A$2:$AZ$9320,MATCH(B56,'Inventaire M-1'!$A:$A,0)-1,MATCH("Cours EUR",'Inventaire M-1'!#REF!,0))))</f>
        <v>#REF!</v>
      </c>
      <c r="G56" s="175"/>
      <c r="H56" s="156" t="e">
        <f>IF(B56="-","",INDEX('Inventaire M'!$A$2:$AW$9305,MATCH(B56,'Inventaire M'!$A:$A,0)-1,MATCH("quantite",'Inventaire M'!#REF!,0)))</f>
        <v>#REF!</v>
      </c>
      <c r="I56" s="156" t="e">
        <f>IF(C56="-","",IF(ISERROR(INDEX('Inventaire M-1'!$A$2:$AZ$9320,MATCH(B56,'Inventaire M-1'!$A:$A,0)-1,MATCH("quantite",'Inventaire M-1'!#REF!,0))),"Buy",INDEX('Inventaire M-1'!$A$2:$AZ$9320,MATCH(B56,'Inventaire M-1'!$A:$A,0)-1,MATCH("quantite",'Inventaire M-1'!#REF!,0))))</f>
        <v>#REF!</v>
      </c>
      <c r="J56" s="175"/>
      <c r="K56" s="155" t="e">
        <f>IF(B56="-","",INDEX('Inventaire M'!$A$2:$AW$9305,MATCH(B56,'Inventaire M'!$A:$A,0)-1,MATCH("poids",'Inventaire M'!#REF!,0)))</f>
        <v>#REF!</v>
      </c>
      <c r="L56" s="155" t="e">
        <f>IF(B56="-","",IF(ISERROR(INDEX('Inventaire M-1'!$A$2:$AZ$9320,MATCH(B56,'Inventaire M-1'!$A:$A,0)-1,MATCH("poids",'Inventaire M-1'!#REF!,0))),"Buy",INDEX('Inventaire M-1'!$A$2:$AZ$9320,MATCH(B56,'Inventaire M-1'!$A:$A,0)-1,MATCH("poids",'Inventaire M-1'!#REF!,0))))</f>
        <v>#REF!</v>
      </c>
      <c r="M56" s="175"/>
      <c r="N56" s="157" t="str">
        <f t="shared" si="0"/>
        <v>0</v>
      </c>
      <c r="O56" s="98" t="str">
        <f t="shared" si="1"/>
        <v/>
      </c>
      <c r="P56" s="80" t="e">
        <f t="shared" si="2"/>
        <v>#REF!</v>
      </c>
      <c r="Q56" s="75">
        <v>3.2000000000000001E-9</v>
      </c>
      <c r="R56" s="175" t="e">
        <f>IF(OR('Inventaire M-1'!#REF!="Dispo/Liquidité Investie",'Inventaire M-1'!#REF!="Option/Future",'Inventaire M-1'!#REF!="TCN",'Inventaire M-1'!#REF!=""),"-",'Inventaire M-1'!#REF!)</f>
        <v>#REF!</v>
      </c>
      <c r="S56" s="175" t="e">
        <f>IF(OR('Inventaire M-1'!#REF!="Dispo/Liquidité Investie",'Inventaire M-1'!#REF!="Option/Future",'Inventaire M-1'!#REF!="TCN",'Inventaire M-1'!#REF!=""),"-",'Inventaire M-1'!#REF!)</f>
        <v>#REF!</v>
      </c>
      <c r="T56" s="175"/>
      <c r="U56" s="175" t="e">
        <f>IF(R56="-","",INDEX('Inventaire M-1'!$A$2:$AG$9334,MATCH(R56,'Inventaire M-1'!$A:$A,0)-1,MATCH("Cours EUR",'Inventaire M-1'!#REF!,0)))</f>
        <v>#REF!</v>
      </c>
      <c r="V56" s="175" t="e">
        <f>IF(R56="-","",IF(ISERROR(INDEX('Inventaire M'!$A$2:$AD$9319,MATCH(R56,'Inventaire M'!$A:$A,0)-1,MATCH("Cours EUR",'Inventaire M'!#REF!,0))),"Sell",INDEX('Inventaire M'!$A$2:$AD$9319,MATCH(R56,'Inventaire M'!$A:$A,0)-1,MATCH("Cours EUR",'Inventaire M'!#REF!,0))))</f>
        <v>#REF!</v>
      </c>
      <c r="W56" s="175"/>
      <c r="X56" s="156" t="e">
        <f>IF(R56="-","",INDEX('Inventaire M-1'!$A$2:$AG$9334,MATCH(R56,'Inventaire M-1'!$A:$A,0)-1,MATCH("quantite",'Inventaire M-1'!#REF!,0)))</f>
        <v>#REF!</v>
      </c>
      <c r="Y56" s="156" t="e">
        <f>IF(S56="-","",IF(ISERROR(INDEX('Inventaire M'!$A$2:$AD$9319,MATCH(R56,'Inventaire M'!$A:$A,0)-1,MATCH("quantite",'Inventaire M'!#REF!,0))),"Sell",INDEX('Inventaire M'!$A$2:$AD$9319,MATCH(R56,'Inventaire M'!$A:$A,0)-1,MATCH("quantite",'Inventaire M'!#REF!,0))))</f>
        <v>#REF!</v>
      </c>
      <c r="Z56" s="175"/>
      <c r="AA56" s="155" t="e">
        <f>IF(R56="-","",INDEX('Inventaire M-1'!$A$2:$AG$9334,MATCH(R56,'Inventaire M-1'!$A:$A,0)-1,MATCH("poids",'Inventaire M-1'!#REF!,0)))</f>
        <v>#REF!</v>
      </c>
      <c r="AB56" s="155" t="e">
        <f>IF(R56="-","",IF(ISERROR(INDEX('Inventaire M'!$A$2:$AD$9319,MATCH(R56,'Inventaire M'!$A:$A,0)-1,MATCH("poids",'Inventaire M'!#REF!,0))),"Sell",INDEX('Inventaire M'!$A$2:$AD$9319,MATCH(R56,'Inventaire M'!$A:$A,0)-1,MATCH("poids",'Inventaire M'!#REF!,0))))</f>
        <v>#REF!</v>
      </c>
      <c r="AC56" s="175"/>
      <c r="AD56" s="157" t="str">
        <f t="shared" si="3"/>
        <v>0</v>
      </c>
      <c r="AE56" s="98" t="str">
        <f t="shared" si="4"/>
        <v/>
      </c>
      <c r="AF56" s="80" t="e">
        <f t="shared" si="5"/>
        <v>#REF!</v>
      </c>
    </row>
    <row r="57" spans="2:32" outlineLevel="1">
      <c r="B57" s="175" t="e">
        <f>IF(OR('Inventaire M'!#REF!="Dispo/Liquidité Investie",'Inventaire M'!#REF!="Option/Future",'Inventaire M'!#REF!="TCN",'Inventaire M'!#REF!=""),"-",'Inventaire M'!#REF!)</f>
        <v>#REF!</v>
      </c>
      <c r="C57" s="175" t="e">
        <f>IF(OR('Inventaire M'!#REF!="Dispo/Liquidité Investie",'Inventaire M'!#REF!="Option/Future",'Inventaire M'!#REF!="TCN",'Inventaire M'!#REF!=""),"-",'Inventaire M'!#REF!)</f>
        <v>#REF!</v>
      </c>
      <c r="D57" s="175"/>
      <c r="E57" s="175" t="e">
        <f>IF(B57="-","",INDEX('Inventaire M'!$A$2:$AW$9305,MATCH(B57,'Inventaire M'!$A:$A,0)-1,MATCH("Cours EUR",'Inventaire M'!#REF!,0)))</f>
        <v>#REF!</v>
      </c>
      <c r="F57" s="175" t="e">
        <f>IF(B57="-","",IF(ISERROR(INDEX('Inventaire M-1'!$A$2:$AZ$9320,MATCH(B57,'Inventaire M-1'!$A:$A,0)-1,MATCH("Cours EUR",'Inventaire M-1'!#REF!,0))),"Buy",INDEX('Inventaire M-1'!$A$2:$AZ$9320,MATCH(B57,'Inventaire M-1'!$A:$A,0)-1,MATCH("Cours EUR",'Inventaire M-1'!#REF!,0))))</f>
        <v>#REF!</v>
      </c>
      <c r="G57" s="175"/>
      <c r="H57" s="156" t="e">
        <f>IF(B57="-","",INDEX('Inventaire M'!$A$2:$AW$9305,MATCH(B57,'Inventaire M'!$A:$A,0)-1,MATCH("quantite",'Inventaire M'!#REF!,0)))</f>
        <v>#REF!</v>
      </c>
      <c r="I57" s="156" t="e">
        <f>IF(C57="-","",IF(ISERROR(INDEX('Inventaire M-1'!$A$2:$AZ$9320,MATCH(B57,'Inventaire M-1'!$A:$A,0)-1,MATCH("quantite",'Inventaire M-1'!#REF!,0))),"Buy",INDEX('Inventaire M-1'!$A$2:$AZ$9320,MATCH(B57,'Inventaire M-1'!$A:$A,0)-1,MATCH("quantite",'Inventaire M-1'!#REF!,0))))</f>
        <v>#REF!</v>
      </c>
      <c r="J57" s="175"/>
      <c r="K57" s="155" t="e">
        <f>IF(B57="-","",INDEX('Inventaire M'!$A$2:$AW$9305,MATCH(B57,'Inventaire M'!$A:$A,0)-1,MATCH("poids",'Inventaire M'!#REF!,0)))</f>
        <v>#REF!</v>
      </c>
      <c r="L57" s="155" t="e">
        <f>IF(B57="-","",IF(ISERROR(INDEX('Inventaire M-1'!$A$2:$AZ$9320,MATCH(B57,'Inventaire M-1'!$A:$A,0)-1,MATCH("poids",'Inventaire M-1'!#REF!,0))),"Buy",INDEX('Inventaire M-1'!$A$2:$AZ$9320,MATCH(B57,'Inventaire M-1'!$A:$A,0)-1,MATCH("poids",'Inventaire M-1'!#REF!,0))))</f>
        <v>#REF!</v>
      </c>
      <c r="M57" s="175"/>
      <c r="N57" s="157" t="str">
        <f t="shared" si="0"/>
        <v>0</v>
      </c>
      <c r="O57" s="98" t="str">
        <f t="shared" si="1"/>
        <v/>
      </c>
      <c r="P57" s="80" t="e">
        <f t="shared" si="2"/>
        <v>#REF!</v>
      </c>
      <c r="Q57" s="75">
        <v>3.3000000000000002E-9</v>
      </c>
      <c r="R57" s="175" t="e">
        <f>IF(OR('Inventaire M-1'!#REF!="Dispo/Liquidité Investie",'Inventaire M-1'!#REF!="Option/Future",'Inventaire M-1'!#REF!="TCN",'Inventaire M-1'!#REF!=""),"-",'Inventaire M-1'!#REF!)</f>
        <v>#REF!</v>
      </c>
      <c r="S57" s="175" t="e">
        <f>IF(OR('Inventaire M-1'!#REF!="Dispo/Liquidité Investie",'Inventaire M-1'!#REF!="Option/Future",'Inventaire M-1'!#REF!="TCN",'Inventaire M-1'!#REF!=""),"-",'Inventaire M-1'!#REF!)</f>
        <v>#REF!</v>
      </c>
      <c r="T57" s="175"/>
      <c r="U57" s="175" t="e">
        <f>IF(R57="-","",INDEX('Inventaire M-1'!$A$2:$AG$9334,MATCH(R57,'Inventaire M-1'!$A:$A,0)-1,MATCH("Cours EUR",'Inventaire M-1'!#REF!,0)))</f>
        <v>#REF!</v>
      </c>
      <c r="V57" s="175" t="e">
        <f>IF(R57="-","",IF(ISERROR(INDEX('Inventaire M'!$A$2:$AD$9319,MATCH(R57,'Inventaire M'!$A:$A,0)-1,MATCH("Cours EUR",'Inventaire M'!#REF!,0))),"Sell",INDEX('Inventaire M'!$A$2:$AD$9319,MATCH(R57,'Inventaire M'!$A:$A,0)-1,MATCH("Cours EUR",'Inventaire M'!#REF!,0))))</f>
        <v>#REF!</v>
      </c>
      <c r="W57" s="175"/>
      <c r="X57" s="156" t="e">
        <f>IF(R57="-","",INDEX('Inventaire M-1'!$A$2:$AG$9334,MATCH(R57,'Inventaire M-1'!$A:$A,0)-1,MATCH("quantite",'Inventaire M-1'!#REF!,0)))</f>
        <v>#REF!</v>
      </c>
      <c r="Y57" s="156" t="e">
        <f>IF(S57="-","",IF(ISERROR(INDEX('Inventaire M'!$A$2:$AD$9319,MATCH(R57,'Inventaire M'!$A:$A,0)-1,MATCH("quantite",'Inventaire M'!#REF!,0))),"Sell",INDEX('Inventaire M'!$A$2:$AD$9319,MATCH(R57,'Inventaire M'!$A:$A,0)-1,MATCH("quantite",'Inventaire M'!#REF!,0))))</f>
        <v>#REF!</v>
      </c>
      <c r="Z57" s="175"/>
      <c r="AA57" s="155" t="e">
        <f>IF(R57="-","",INDEX('Inventaire M-1'!$A$2:$AG$9334,MATCH(R57,'Inventaire M-1'!$A:$A,0)-1,MATCH("poids",'Inventaire M-1'!#REF!,0)))</f>
        <v>#REF!</v>
      </c>
      <c r="AB57" s="155" t="e">
        <f>IF(R57="-","",IF(ISERROR(INDEX('Inventaire M'!$A$2:$AD$9319,MATCH(R57,'Inventaire M'!$A:$A,0)-1,MATCH("poids",'Inventaire M'!#REF!,0))),"Sell",INDEX('Inventaire M'!$A$2:$AD$9319,MATCH(R57,'Inventaire M'!$A:$A,0)-1,MATCH("poids",'Inventaire M'!#REF!,0))))</f>
        <v>#REF!</v>
      </c>
      <c r="AC57" s="175"/>
      <c r="AD57" s="157" t="str">
        <f t="shared" si="3"/>
        <v>0</v>
      </c>
      <c r="AE57" s="98" t="str">
        <f t="shared" si="4"/>
        <v/>
      </c>
      <c r="AF57" s="80" t="e">
        <f t="shared" si="5"/>
        <v>#REF!</v>
      </c>
    </row>
    <row r="58" spans="2:32" outlineLevel="1">
      <c r="B58" s="175" t="e">
        <f>IF(OR('Inventaire M'!#REF!="Dispo/Liquidité Investie",'Inventaire M'!#REF!="Option/Future",'Inventaire M'!#REF!="TCN",'Inventaire M'!#REF!=""),"-",'Inventaire M'!#REF!)</f>
        <v>#REF!</v>
      </c>
      <c r="C58" s="175" t="e">
        <f>IF(OR('Inventaire M'!#REF!="Dispo/Liquidité Investie",'Inventaire M'!#REF!="Option/Future",'Inventaire M'!#REF!="TCN",'Inventaire M'!#REF!=""),"-",'Inventaire M'!#REF!)</f>
        <v>#REF!</v>
      </c>
      <c r="D58" s="175"/>
      <c r="E58" s="175" t="e">
        <f>IF(B58="-","",INDEX('Inventaire M'!$A$2:$AW$9305,MATCH(B58,'Inventaire M'!$A:$A,0)-1,MATCH("Cours EUR",'Inventaire M'!#REF!,0)))</f>
        <v>#REF!</v>
      </c>
      <c r="F58" s="175" t="e">
        <f>IF(B58="-","",IF(ISERROR(INDEX('Inventaire M-1'!$A$2:$AZ$9320,MATCH(B58,'Inventaire M-1'!$A:$A,0)-1,MATCH("Cours EUR",'Inventaire M-1'!#REF!,0))),"Buy",INDEX('Inventaire M-1'!$A$2:$AZ$9320,MATCH(B58,'Inventaire M-1'!$A:$A,0)-1,MATCH("Cours EUR",'Inventaire M-1'!#REF!,0))))</f>
        <v>#REF!</v>
      </c>
      <c r="G58" s="175"/>
      <c r="H58" s="156" t="e">
        <f>IF(B58="-","",INDEX('Inventaire M'!$A$2:$AW$9305,MATCH(B58,'Inventaire M'!$A:$A,0)-1,MATCH("quantite",'Inventaire M'!#REF!,0)))</f>
        <v>#REF!</v>
      </c>
      <c r="I58" s="156" t="e">
        <f>IF(C58="-","",IF(ISERROR(INDEX('Inventaire M-1'!$A$2:$AZ$9320,MATCH(B58,'Inventaire M-1'!$A:$A,0)-1,MATCH("quantite",'Inventaire M-1'!#REF!,0))),"Buy",INDEX('Inventaire M-1'!$A$2:$AZ$9320,MATCH(B58,'Inventaire M-1'!$A:$A,0)-1,MATCH("quantite",'Inventaire M-1'!#REF!,0))))</f>
        <v>#REF!</v>
      </c>
      <c r="J58" s="175"/>
      <c r="K58" s="155" t="e">
        <f>IF(B58="-","",INDEX('Inventaire M'!$A$2:$AW$9305,MATCH(B58,'Inventaire M'!$A:$A,0)-1,MATCH("poids",'Inventaire M'!#REF!,0)))</f>
        <v>#REF!</v>
      </c>
      <c r="L58" s="155" t="e">
        <f>IF(B58="-","",IF(ISERROR(INDEX('Inventaire M-1'!$A$2:$AZ$9320,MATCH(B58,'Inventaire M-1'!$A:$A,0)-1,MATCH("poids",'Inventaire M-1'!#REF!,0))),"Buy",INDEX('Inventaire M-1'!$A$2:$AZ$9320,MATCH(B58,'Inventaire M-1'!$A:$A,0)-1,MATCH("poids",'Inventaire M-1'!#REF!,0))))</f>
        <v>#REF!</v>
      </c>
      <c r="M58" s="175"/>
      <c r="N58" s="157" t="str">
        <f t="shared" si="0"/>
        <v>0</v>
      </c>
      <c r="O58" s="98" t="str">
        <f t="shared" si="1"/>
        <v/>
      </c>
      <c r="P58" s="80" t="e">
        <f t="shared" si="2"/>
        <v>#REF!</v>
      </c>
      <c r="Q58" s="75">
        <v>3.3999999999999998E-9</v>
      </c>
      <c r="R58" s="175" t="e">
        <f>IF(OR('Inventaire M-1'!#REF!="Dispo/Liquidité Investie",'Inventaire M-1'!#REF!="Option/Future",'Inventaire M-1'!#REF!="TCN",'Inventaire M-1'!#REF!=""),"-",'Inventaire M-1'!#REF!)</f>
        <v>#REF!</v>
      </c>
      <c r="S58" s="175" t="e">
        <f>IF(OR('Inventaire M-1'!#REF!="Dispo/Liquidité Investie",'Inventaire M-1'!#REF!="Option/Future",'Inventaire M-1'!#REF!="TCN",'Inventaire M-1'!#REF!=""),"-",'Inventaire M-1'!#REF!)</f>
        <v>#REF!</v>
      </c>
      <c r="T58" s="175"/>
      <c r="U58" s="175" t="e">
        <f>IF(R58="-","",INDEX('Inventaire M-1'!$A$2:$AG$9334,MATCH(R58,'Inventaire M-1'!$A:$A,0)-1,MATCH("Cours EUR",'Inventaire M-1'!#REF!,0)))</f>
        <v>#REF!</v>
      </c>
      <c r="V58" s="175" t="e">
        <f>IF(R58="-","",IF(ISERROR(INDEX('Inventaire M'!$A$2:$AD$9319,MATCH(R58,'Inventaire M'!$A:$A,0)-1,MATCH("Cours EUR",'Inventaire M'!#REF!,0))),"Sell",INDEX('Inventaire M'!$A$2:$AD$9319,MATCH(R58,'Inventaire M'!$A:$A,0)-1,MATCH("Cours EUR",'Inventaire M'!#REF!,0))))</f>
        <v>#REF!</v>
      </c>
      <c r="W58" s="175"/>
      <c r="X58" s="156" t="e">
        <f>IF(R58="-","",INDEX('Inventaire M-1'!$A$2:$AG$9334,MATCH(R58,'Inventaire M-1'!$A:$A,0)-1,MATCH("quantite",'Inventaire M-1'!#REF!,0)))</f>
        <v>#REF!</v>
      </c>
      <c r="Y58" s="156" t="e">
        <f>IF(S58="-","",IF(ISERROR(INDEX('Inventaire M'!$A$2:$AD$9319,MATCH(R58,'Inventaire M'!$A:$A,0)-1,MATCH("quantite",'Inventaire M'!#REF!,0))),"Sell",INDEX('Inventaire M'!$A$2:$AD$9319,MATCH(R58,'Inventaire M'!$A:$A,0)-1,MATCH("quantite",'Inventaire M'!#REF!,0))))</f>
        <v>#REF!</v>
      </c>
      <c r="Z58" s="175"/>
      <c r="AA58" s="155" t="e">
        <f>IF(R58="-","",INDEX('Inventaire M-1'!$A$2:$AG$9334,MATCH(R58,'Inventaire M-1'!$A:$A,0)-1,MATCH("poids",'Inventaire M-1'!#REF!,0)))</f>
        <v>#REF!</v>
      </c>
      <c r="AB58" s="155" t="e">
        <f>IF(R58="-","",IF(ISERROR(INDEX('Inventaire M'!$A$2:$AD$9319,MATCH(R58,'Inventaire M'!$A:$A,0)-1,MATCH("poids",'Inventaire M'!#REF!,0))),"Sell",INDEX('Inventaire M'!$A$2:$AD$9319,MATCH(R58,'Inventaire M'!$A:$A,0)-1,MATCH("poids",'Inventaire M'!#REF!,0))))</f>
        <v>#REF!</v>
      </c>
      <c r="AC58" s="175"/>
      <c r="AD58" s="157" t="str">
        <f t="shared" si="3"/>
        <v>0</v>
      </c>
      <c r="AE58" s="98" t="str">
        <f t="shared" si="4"/>
        <v/>
      </c>
      <c r="AF58" s="80" t="e">
        <f t="shared" si="5"/>
        <v>#REF!</v>
      </c>
    </row>
    <row r="59" spans="2:32" outlineLevel="1">
      <c r="B59" s="175" t="e">
        <f>IF(OR('Inventaire M'!#REF!="Dispo/Liquidité Investie",'Inventaire M'!#REF!="Option/Future",'Inventaire M'!#REF!="TCN",'Inventaire M'!#REF!=""),"-",'Inventaire M'!#REF!)</f>
        <v>#REF!</v>
      </c>
      <c r="C59" s="175" t="e">
        <f>IF(OR('Inventaire M'!#REF!="Dispo/Liquidité Investie",'Inventaire M'!#REF!="Option/Future",'Inventaire M'!#REF!="TCN",'Inventaire M'!#REF!=""),"-",'Inventaire M'!#REF!)</f>
        <v>#REF!</v>
      </c>
      <c r="D59" s="175"/>
      <c r="E59" s="175" t="e">
        <f>IF(B59="-","",INDEX('Inventaire M'!$A$2:$AW$9305,MATCH(B59,'Inventaire M'!$A:$A,0)-1,MATCH("Cours EUR",'Inventaire M'!#REF!,0)))</f>
        <v>#REF!</v>
      </c>
      <c r="F59" s="175" t="e">
        <f>IF(B59="-","",IF(ISERROR(INDEX('Inventaire M-1'!$A$2:$AZ$9320,MATCH(B59,'Inventaire M-1'!$A:$A,0)-1,MATCH("Cours EUR",'Inventaire M-1'!#REF!,0))),"Buy",INDEX('Inventaire M-1'!$A$2:$AZ$9320,MATCH(B59,'Inventaire M-1'!$A:$A,0)-1,MATCH("Cours EUR",'Inventaire M-1'!#REF!,0))))</f>
        <v>#REF!</v>
      </c>
      <c r="G59" s="175"/>
      <c r="H59" s="156" t="e">
        <f>IF(B59="-","",INDEX('Inventaire M'!$A$2:$AW$9305,MATCH(B59,'Inventaire M'!$A:$A,0)-1,MATCH("quantite",'Inventaire M'!#REF!,0)))</f>
        <v>#REF!</v>
      </c>
      <c r="I59" s="156" t="e">
        <f>IF(C59="-","",IF(ISERROR(INDEX('Inventaire M-1'!$A$2:$AZ$9320,MATCH(B59,'Inventaire M-1'!$A:$A,0)-1,MATCH("quantite",'Inventaire M-1'!#REF!,0))),"Buy",INDEX('Inventaire M-1'!$A$2:$AZ$9320,MATCH(B59,'Inventaire M-1'!$A:$A,0)-1,MATCH("quantite",'Inventaire M-1'!#REF!,0))))</f>
        <v>#REF!</v>
      </c>
      <c r="J59" s="175"/>
      <c r="K59" s="155" t="e">
        <f>IF(B59="-","",INDEX('Inventaire M'!$A$2:$AW$9305,MATCH(B59,'Inventaire M'!$A:$A,0)-1,MATCH("poids",'Inventaire M'!#REF!,0)))</f>
        <v>#REF!</v>
      </c>
      <c r="L59" s="155" t="e">
        <f>IF(B59="-","",IF(ISERROR(INDEX('Inventaire M-1'!$A$2:$AZ$9320,MATCH(B59,'Inventaire M-1'!$A:$A,0)-1,MATCH("poids",'Inventaire M-1'!#REF!,0))),"Buy",INDEX('Inventaire M-1'!$A$2:$AZ$9320,MATCH(B59,'Inventaire M-1'!$A:$A,0)-1,MATCH("poids",'Inventaire M-1'!#REF!,0))))</f>
        <v>#REF!</v>
      </c>
      <c r="M59" s="175"/>
      <c r="N59" s="157" t="str">
        <f t="shared" si="0"/>
        <v>0</v>
      </c>
      <c r="O59" s="98" t="str">
        <f t="shared" si="1"/>
        <v/>
      </c>
      <c r="P59" s="80" t="e">
        <f t="shared" si="2"/>
        <v>#REF!</v>
      </c>
      <c r="Q59" s="75">
        <v>3.4999999999999999E-9</v>
      </c>
      <c r="R59" s="175" t="e">
        <f>IF(OR('Inventaire M-1'!#REF!="Dispo/Liquidité Investie",'Inventaire M-1'!#REF!="Option/Future",'Inventaire M-1'!#REF!="TCN",'Inventaire M-1'!#REF!=""),"-",'Inventaire M-1'!#REF!)</f>
        <v>#REF!</v>
      </c>
      <c r="S59" s="175" t="e">
        <f>IF(OR('Inventaire M-1'!#REF!="Dispo/Liquidité Investie",'Inventaire M-1'!#REF!="Option/Future",'Inventaire M-1'!#REF!="TCN",'Inventaire M-1'!#REF!=""),"-",'Inventaire M-1'!#REF!)</f>
        <v>#REF!</v>
      </c>
      <c r="T59" s="175"/>
      <c r="U59" s="175" t="e">
        <f>IF(R59="-","",INDEX('Inventaire M-1'!$A$2:$AG$9334,MATCH(R59,'Inventaire M-1'!$A:$A,0)-1,MATCH("Cours EUR",'Inventaire M-1'!#REF!,0)))</f>
        <v>#REF!</v>
      </c>
      <c r="V59" s="175" t="e">
        <f>IF(R59="-","",IF(ISERROR(INDEX('Inventaire M'!$A$2:$AD$9319,MATCH(R59,'Inventaire M'!$A:$A,0)-1,MATCH("Cours EUR",'Inventaire M'!#REF!,0))),"Sell",INDEX('Inventaire M'!$A$2:$AD$9319,MATCH(R59,'Inventaire M'!$A:$A,0)-1,MATCH("Cours EUR",'Inventaire M'!#REF!,0))))</f>
        <v>#REF!</v>
      </c>
      <c r="W59" s="175"/>
      <c r="X59" s="156" t="e">
        <f>IF(R59="-","",INDEX('Inventaire M-1'!$A$2:$AG$9334,MATCH(R59,'Inventaire M-1'!$A:$A,0)-1,MATCH("quantite",'Inventaire M-1'!#REF!,0)))</f>
        <v>#REF!</v>
      </c>
      <c r="Y59" s="156" t="e">
        <f>IF(S59="-","",IF(ISERROR(INDEX('Inventaire M'!$A$2:$AD$9319,MATCH(R59,'Inventaire M'!$A:$A,0)-1,MATCH("quantite",'Inventaire M'!#REF!,0))),"Sell",INDEX('Inventaire M'!$A$2:$AD$9319,MATCH(R59,'Inventaire M'!$A:$A,0)-1,MATCH("quantite",'Inventaire M'!#REF!,0))))</f>
        <v>#REF!</v>
      </c>
      <c r="Z59" s="175"/>
      <c r="AA59" s="155" t="e">
        <f>IF(R59="-","",INDEX('Inventaire M-1'!$A$2:$AG$9334,MATCH(R59,'Inventaire M-1'!$A:$A,0)-1,MATCH("poids",'Inventaire M-1'!#REF!,0)))</f>
        <v>#REF!</v>
      </c>
      <c r="AB59" s="155" t="e">
        <f>IF(R59="-","",IF(ISERROR(INDEX('Inventaire M'!$A$2:$AD$9319,MATCH(R59,'Inventaire M'!$A:$A,0)-1,MATCH("poids",'Inventaire M'!#REF!,0))),"Sell",INDEX('Inventaire M'!$A$2:$AD$9319,MATCH(R59,'Inventaire M'!$A:$A,0)-1,MATCH("poids",'Inventaire M'!#REF!,0))))</f>
        <v>#REF!</v>
      </c>
      <c r="AC59" s="175"/>
      <c r="AD59" s="157" t="str">
        <f t="shared" si="3"/>
        <v>0</v>
      </c>
      <c r="AE59" s="98" t="str">
        <f t="shared" si="4"/>
        <v/>
      </c>
      <c r="AF59" s="80" t="e">
        <f t="shared" si="5"/>
        <v>#REF!</v>
      </c>
    </row>
    <row r="60" spans="2:32" outlineLevel="1">
      <c r="B60" s="175" t="e">
        <f>IF(OR('Inventaire M'!#REF!="Dispo/Liquidité Investie",'Inventaire M'!#REF!="Option/Future",'Inventaire M'!#REF!="TCN",'Inventaire M'!#REF!=""),"-",'Inventaire M'!#REF!)</f>
        <v>#REF!</v>
      </c>
      <c r="C60" s="175" t="e">
        <f>IF(OR('Inventaire M'!#REF!="Dispo/Liquidité Investie",'Inventaire M'!#REF!="Option/Future",'Inventaire M'!#REF!="TCN",'Inventaire M'!#REF!=""),"-",'Inventaire M'!#REF!)</f>
        <v>#REF!</v>
      </c>
      <c r="D60" s="175"/>
      <c r="E60" s="175" t="e">
        <f>IF(B60="-","",INDEX('Inventaire M'!$A$2:$AW$9305,MATCH(B60,'Inventaire M'!$A:$A,0)-1,MATCH("Cours EUR",'Inventaire M'!#REF!,0)))</f>
        <v>#REF!</v>
      </c>
      <c r="F60" s="175" t="e">
        <f>IF(B60="-","",IF(ISERROR(INDEX('Inventaire M-1'!$A$2:$AZ$9320,MATCH(B60,'Inventaire M-1'!$A:$A,0)-1,MATCH("Cours EUR",'Inventaire M-1'!#REF!,0))),"Buy",INDEX('Inventaire M-1'!$A$2:$AZ$9320,MATCH(B60,'Inventaire M-1'!$A:$A,0)-1,MATCH("Cours EUR",'Inventaire M-1'!#REF!,0))))</f>
        <v>#REF!</v>
      </c>
      <c r="G60" s="175"/>
      <c r="H60" s="156" t="e">
        <f>IF(B60="-","",INDEX('Inventaire M'!$A$2:$AW$9305,MATCH(B60,'Inventaire M'!$A:$A,0)-1,MATCH("quantite",'Inventaire M'!#REF!,0)))</f>
        <v>#REF!</v>
      </c>
      <c r="I60" s="156" t="e">
        <f>IF(C60="-","",IF(ISERROR(INDEX('Inventaire M-1'!$A$2:$AZ$9320,MATCH(B60,'Inventaire M-1'!$A:$A,0)-1,MATCH("quantite",'Inventaire M-1'!#REF!,0))),"Buy",INDEX('Inventaire M-1'!$A$2:$AZ$9320,MATCH(B60,'Inventaire M-1'!$A:$A,0)-1,MATCH("quantite",'Inventaire M-1'!#REF!,0))))</f>
        <v>#REF!</v>
      </c>
      <c r="J60" s="175"/>
      <c r="K60" s="155" t="e">
        <f>IF(B60="-","",INDEX('Inventaire M'!$A$2:$AW$9305,MATCH(B60,'Inventaire M'!$A:$A,0)-1,MATCH("poids",'Inventaire M'!#REF!,0)))</f>
        <v>#REF!</v>
      </c>
      <c r="L60" s="155" t="e">
        <f>IF(B60="-","",IF(ISERROR(INDEX('Inventaire M-1'!$A$2:$AZ$9320,MATCH(B60,'Inventaire M-1'!$A:$A,0)-1,MATCH("poids",'Inventaire M-1'!#REF!,0))),"Buy",INDEX('Inventaire M-1'!$A$2:$AZ$9320,MATCH(B60,'Inventaire M-1'!$A:$A,0)-1,MATCH("poids",'Inventaire M-1'!#REF!,0))))</f>
        <v>#REF!</v>
      </c>
      <c r="M60" s="175"/>
      <c r="N60" s="157" t="str">
        <f t="shared" si="0"/>
        <v>0</v>
      </c>
      <c r="O60" s="98" t="str">
        <f t="shared" si="1"/>
        <v/>
      </c>
      <c r="P60" s="80" t="e">
        <f t="shared" si="2"/>
        <v>#REF!</v>
      </c>
      <c r="Q60" s="75">
        <v>3.6E-9</v>
      </c>
      <c r="R60" s="175" t="e">
        <f>IF(OR('Inventaire M-1'!#REF!="Dispo/Liquidité Investie",'Inventaire M-1'!#REF!="Option/Future",'Inventaire M-1'!#REF!="TCN",'Inventaire M-1'!#REF!=""),"-",'Inventaire M-1'!#REF!)</f>
        <v>#REF!</v>
      </c>
      <c r="S60" s="175" t="e">
        <f>IF(OR('Inventaire M-1'!#REF!="Dispo/Liquidité Investie",'Inventaire M-1'!#REF!="Option/Future",'Inventaire M-1'!#REF!="TCN",'Inventaire M-1'!#REF!=""),"-",'Inventaire M-1'!#REF!)</f>
        <v>#REF!</v>
      </c>
      <c r="T60" s="175"/>
      <c r="U60" s="175" t="e">
        <f>IF(R60="-","",INDEX('Inventaire M-1'!$A$2:$AG$9334,MATCH(R60,'Inventaire M-1'!$A:$A,0)-1,MATCH("Cours EUR",'Inventaire M-1'!#REF!,0)))</f>
        <v>#REF!</v>
      </c>
      <c r="V60" s="175" t="e">
        <f>IF(R60="-","",IF(ISERROR(INDEX('Inventaire M'!$A$2:$AD$9319,MATCH(R60,'Inventaire M'!$A:$A,0)-1,MATCH("Cours EUR",'Inventaire M'!#REF!,0))),"Sell",INDEX('Inventaire M'!$A$2:$AD$9319,MATCH(R60,'Inventaire M'!$A:$A,0)-1,MATCH("Cours EUR",'Inventaire M'!#REF!,0))))</f>
        <v>#REF!</v>
      </c>
      <c r="W60" s="175"/>
      <c r="X60" s="156" t="e">
        <f>IF(R60="-","",INDEX('Inventaire M-1'!$A$2:$AG$9334,MATCH(R60,'Inventaire M-1'!$A:$A,0)-1,MATCH("quantite",'Inventaire M-1'!#REF!,0)))</f>
        <v>#REF!</v>
      </c>
      <c r="Y60" s="156" t="e">
        <f>IF(S60="-","",IF(ISERROR(INDEX('Inventaire M'!$A$2:$AD$9319,MATCH(R60,'Inventaire M'!$A:$A,0)-1,MATCH("quantite",'Inventaire M'!#REF!,0))),"Sell",INDEX('Inventaire M'!$A$2:$AD$9319,MATCH(R60,'Inventaire M'!$A:$A,0)-1,MATCH("quantite",'Inventaire M'!#REF!,0))))</f>
        <v>#REF!</v>
      </c>
      <c r="Z60" s="175"/>
      <c r="AA60" s="155" t="e">
        <f>IF(R60="-","",INDEX('Inventaire M-1'!$A$2:$AG$9334,MATCH(R60,'Inventaire M-1'!$A:$A,0)-1,MATCH("poids",'Inventaire M-1'!#REF!,0)))</f>
        <v>#REF!</v>
      </c>
      <c r="AB60" s="155" t="e">
        <f>IF(R60="-","",IF(ISERROR(INDEX('Inventaire M'!$A$2:$AD$9319,MATCH(R60,'Inventaire M'!$A:$A,0)-1,MATCH("poids",'Inventaire M'!#REF!,0))),"Sell",INDEX('Inventaire M'!$A$2:$AD$9319,MATCH(R60,'Inventaire M'!$A:$A,0)-1,MATCH("poids",'Inventaire M'!#REF!,0))))</f>
        <v>#REF!</v>
      </c>
      <c r="AC60" s="175"/>
      <c r="AD60" s="157" t="str">
        <f t="shared" si="3"/>
        <v>0</v>
      </c>
      <c r="AE60" s="98" t="str">
        <f t="shared" si="4"/>
        <v/>
      </c>
      <c r="AF60" s="80" t="e">
        <f t="shared" si="5"/>
        <v>#REF!</v>
      </c>
    </row>
    <row r="61" spans="2:32" outlineLevel="1">
      <c r="B61" s="175" t="e">
        <f>IF(OR('Inventaire M'!#REF!="Dispo/Liquidité Investie",'Inventaire M'!#REF!="Option/Future",'Inventaire M'!#REF!="TCN",'Inventaire M'!#REF!=""),"-",'Inventaire M'!#REF!)</f>
        <v>#REF!</v>
      </c>
      <c r="C61" s="175" t="e">
        <f>IF(OR('Inventaire M'!#REF!="Dispo/Liquidité Investie",'Inventaire M'!#REF!="Option/Future",'Inventaire M'!#REF!="TCN",'Inventaire M'!#REF!=""),"-",'Inventaire M'!#REF!)</f>
        <v>#REF!</v>
      </c>
      <c r="D61" s="175"/>
      <c r="E61" s="175" t="e">
        <f>IF(B61="-","",INDEX('Inventaire M'!$A$2:$AW$9305,MATCH(B61,'Inventaire M'!$A:$A,0)-1,MATCH("Cours EUR",'Inventaire M'!#REF!,0)))</f>
        <v>#REF!</v>
      </c>
      <c r="F61" s="175" t="e">
        <f>IF(B61="-","",IF(ISERROR(INDEX('Inventaire M-1'!$A$2:$AZ$9320,MATCH(B61,'Inventaire M-1'!$A:$A,0)-1,MATCH("Cours EUR",'Inventaire M-1'!#REF!,0))),"Buy",INDEX('Inventaire M-1'!$A$2:$AZ$9320,MATCH(B61,'Inventaire M-1'!$A:$A,0)-1,MATCH("Cours EUR",'Inventaire M-1'!#REF!,0))))</f>
        <v>#REF!</v>
      </c>
      <c r="G61" s="175"/>
      <c r="H61" s="156" t="e">
        <f>IF(B61="-","",INDEX('Inventaire M'!$A$2:$AW$9305,MATCH(B61,'Inventaire M'!$A:$A,0)-1,MATCH("quantite",'Inventaire M'!#REF!,0)))</f>
        <v>#REF!</v>
      </c>
      <c r="I61" s="156" t="e">
        <f>IF(C61="-","",IF(ISERROR(INDEX('Inventaire M-1'!$A$2:$AZ$9320,MATCH(B61,'Inventaire M-1'!$A:$A,0)-1,MATCH("quantite",'Inventaire M-1'!#REF!,0))),"Buy",INDEX('Inventaire M-1'!$A$2:$AZ$9320,MATCH(B61,'Inventaire M-1'!$A:$A,0)-1,MATCH("quantite",'Inventaire M-1'!#REF!,0))))</f>
        <v>#REF!</v>
      </c>
      <c r="J61" s="175"/>
      <c r="K61" s="155" t="e">
        <f>IF(B61="-","",INDEX('Inventaire M'!$A$2:$AW$9305,MATCH(B61,'Inventaire M'!$A:$A,0)-1,MATCH("poids",'Inventaire M'!#REF!,0)))</f>
        <v>#REF!</v>
      </c>
      <c r="L61" s="155" t="e">
        <f>IF(B61="-","",IF(ISERROR(INDEX('Inventaire M-1'!$A$2:$AZ$9320,MATCH(B61,'Inventaire M-1'!$A:$A,0)-1,MATCH("poids",'Inventaire M-1'!#REF!,0))),"Buy",INDEX('Inventaire M-1'!$A$2:$AZ$9320,MATCH(B61,'Inventaire M-1'!$A:$A,0)-1,MATCH("poids",'Inventaire M-1'!#REF!,0))))</f>
        <v>#REF!</v>
      </c>
      <c r="M61" s="175"/>
      <c r="N61" s="157" t="str">
        <f t="shared" si="0"/>
        <v>0</v>
      </c>
      <c r="O61" s="98" t="str">
        <f t="shared" si="1"/>
        <v/>
      </c>
      <c r="P61" s="80" t="e">
        <f t="shared" si="2"/>
        <v>#REF!</v>
      </c>
      <c r="Q61" s="75">
        <v>3.7E-9</v>
      </c>
      <c r="R61" s="175" t="e">
        <f>IF(OR('Inventaire M-1'!#REF!="Dispo/Liquidité Investie",'Inventaire M-1'!#REF!="Option/Future",'Inventaire M-1'!#REF!="TCN",'Inventaire M-1'!#REF!=""),"-",'Inventaire M-1'!#REF!)</f>
        <v>#REF!</v>
      </c>
      <c r="S61" s="175" t="e">
        <f>IF(OR('Inventaire M-1'!#REF!="Dispo/Liquidité Investie",'Inventaire M-1'!#REF!="Option/Future",'Inventaire M-1'!#REF!="TCN",'Inventaire M-1'!#REF!=""),"-",'Inventaire M-1'!#REF!)</f>
        <v>#REF!</v>
      </c>
      <c r="T61" s="175"/>
      <c r="U61" s="175" t="e">
        <f>IF(R61="-","",INDEX('Inventaire M-1'!$A$2:$AG$9334,MATCH(R61,'Inventaire M-1'!$A:$A,0)-1,MATCH("Cours EUR",'Inventaire M-1'!#REF!,0)))</f>
        <v>#REF!</v>
      </c>
      <c r="V61" s="175" t="e">
        <f>IF(R61="-","",IF(ISERROR(INDEX('Inventaire M'!$A$2:$AD$9319,MATCH(R61,'Inventaire M'!$A:$A,0)-1,MATCH("Cours EUR",'Inventaire M'!#REF!,0))),"Sell",INDEX('Inventaire M'!$A$2:$AD$9319,MATCH(R61,'Inventaire M'!$A:$A,0)-1,MATCH("Cours EUR",'Inventaire M'!#REF!,0))))</f>
        <v>#REF!</v>
      </c>
      <c r="W61" s="175"/>
      <c r="X61" s="156" t="e">
        <f>IF(R61="-","",INDEX('Inventaire M-1'!$A$2:$AG$9334,MATCH(R61,'Inventaire M-1'!$A:$A,0)-1,MATCH("quantite",'Inventaire M-1'!#REF!,0)))</f>
        <v>#REF!</v>
      </c>
      <c r="Y61" s="156" t="e">
        <f>IF(S61="-","",IF(ISERROR(INDEX('Inventaire M'!$A$2:$AD$9319,MATCH(R61,'Inventaire M'!$A:$A,0)-1,MATCH("quantite",'Inventaire M'!#REF!,0))),"Sell",INDEX('Inventaire M'!$A$2:$AD$9319,MATCH(R61,'Inventaire M'!$A:$A,0)-1,MATCH("quantite",'Inventaire M'!#REF!,0))))</f>
        <v>#REF!</v>
      </c>
      <c r="Z61" s="175"/>
      <c r="AA61" s="155" t="e">
        <f>IF(R61="-","",INDEX('Inventaire M-1'!$A$2:$AG$9334,MATCH(R61,'Inventaire M-1'!$A:$A,0)-1,MATCH("poids",'Inventaire M-1'!#REF!,0)))</f>
        <v>#REF!</v>
      </c>
      <c r="AB61" s="155" t="e">
        <f>IF(R61="-","",IF(ISERROR(INDEX('Inventaire M'!$A$2:$AD$9319,MATCH(R61,'Inventaire M'!$A:$A,0)-1,MATCH("poids",'Inventaire M'!#REF!,0))),"Sell",INDEX('Inventaire M'!$A$2:$AD$9319,MATCH(R61,'Inventaire M'!$A:$A,0)-1,MATCH("poids",'Inventaire M'!#REF!,0))))</f>
        <v>#REF!</v>
      </c>
      <c r="AC61" s="175"/>
      <c r="AD61" s="157" t="str">
        <f t="shared" si="3"/>
        <v>0</v>
      </c>
      <c r="AE61" s="98" t="str">
        <f t="shared" si="4"/>
        <v/>
      </c>
      <c r="AF61" s="80" t="e">
        <f t="shared" si="5"/>
        <v>#REF!</v>
      </c>
    </row>
    <row r="62" spans="2:32" outlineLevel="1">
      <c r="B62" s="175" t="e">
        <f>IF(OR('Inventaire M'!#REF!="Dispo/Liquidité Investie",'Inventaire M'!#REF!="Option/Future",'Inventaire M'!#REF!="TCN",'Inventaire M'!#REF!=""),"-",'Inventaire M'!#REF!)</f>
        <v>#REF!</v>
      </c>
      <c r="C62" s="175" t="e">
        <f>IF(OR('Inventaire M'!#REF!="Dispo/Liquidité Investie",'Inventaire M'!#REF!="Option/Future",'Inventaire M'!#REF!="TCN",'Inventaire M'!#REF!=""),"-",'Inventaire M'!#REF!)</f>
        <v>#REF!</v>
      </c>
      <c r="D62" s="175"/>
      <c r="E62" s="175" t="e">
        <f>IF(B62="-","",INDEX('Inventaire M'!$A$2:$AW$9305,MATCH(B62,'Inventaire M'!$A:$A,0)-1,MATCH("Cours EUR",'Inventaire M'!#REF!,0)))</f>
        <v>#REF!</v>
      </c>
      <c r="F62" s="175" t="e">
        <f>IF(B62="-","",IF(ISERROR(INDEX('Inventaire M-1'!$A$2:$AZ$9320,MATCH(B62,'Inventaire M-1'!$A:$A,0)-1,MATCH("Cours EUR",'Inventaire M-1'!#REF!,0))),"Buy",INDEX('Inventaire M-1'!$A$2:$AZ$9320,MATCH(B62,'Inventaire M-1'!$A:$A,0)-1,MATCH("Cours EUR",'Inventaire M-1'!#REF!,0))))</f>
        <v>#REF!</v>
      </c>
      <c r="G62" s="175"/>
      <c r="H62" s="156" t="e">
        <f>IF(B62="-","",INDEX('Inventaire M'!$A$2:$AW$9305,MATCH(B62,'Inventaire M'!$A:$A,0)-1,MATCH("quantite",'Inventaire M'!#REF!,0)))</f>
        <v>#REF!</v>
      </c>
      <c r="I62" s="156" t="e">
        <f>IF(C62="-","",IF(ISERROR(INDEX('Inventaire M-1'!$A$2:$AZ$9320,MATCH(B62,'Inventaire M-1'!$A:$A,0)-1,MATCH("quantite",'Inventaire M-1'!#REF!,0))),"Buy",INDEX('Inventaire M-1'!$A$2:$AZ$9320,MATCH(B62,'Inventaire M-1'!$A:$A,0)-1,MATCH("quantite",'Inventaire M-1'!#REF!,0))))</f>
        <v>#REF!</v>
      </c>
      <c r="J62" s="175"/>
      <c r="K62" s="155" t="e">
        <f>IF(B62="-","",INDEX('Inventaire M'!$A$2:$AW$9305,MATCH(B62,'Inventaire M'!$A:$A,0)-1,MATCH("poids",'Inventaire M'!#REF!,0)))</f>
        <v>#REF!</v>
      </c>
      <c r="L62" s="155" t="e">
        <f>IF(B62="-","",IF(ISERROR(INDEX('Inventaire M-1'!$A$2:$AZ$9320,MATCH(B62,'Inventaire M-1'!$A:$A,0)-1,MATCH("poids",'Inventaire M-1'!#REF!,0))),"Buy",INDEX('Inventaire M-1'!$A$2:$AZ$9320,MATCH(B62,'Inventaire M-1'!$A:$A,0)-1,MATCH("poids",'Inventaire M-1'!#REF!,0))))</f>
        <v>#REF!</v>
      </c>
      <c r="M62" s="175"/>
      <c r="N62" s="157" t="str">
        <f t="shared" si="0"/>
        <v>0</v>
      </c>
      <c r="O62" s="98" t="str">
        <f t="shared" si="1"/>
        <v/>
      </c>
      <c r="P62" s="80" t="e">
        <f t="shared" si="2"/>
        <v>#REF!</v>
      </c>
      <c r="Q62" s="75">
        <v>3.8000000000000001E-9</v>
      </c>
      <c r="R62" s="175" t="e">
        <f>IF(OR('Inventaire M-1'!#REF!="Dispo/Liquidité Investie",'Inventaire M-1'!#REF!="Option/Future",'Inventaire M-1'!#REF!="TCN",'Inventaire M-1'!#REF!=""),"-",'Inventaire M-1'!#REF!)</f>
        <v>#REF!</v>
      </c>
      <c r="S62" s="175" t="e">
        <f>IF(OR('Inventaire M-1'!#REF!="Dispo/Liquidité Investie",'Inventaire M-1'!#REF!="Option/Future",'Inventaire M-1'!#REF!="TCN",'Inventaire M-1'!#REF!=""),"-",'Inventaire M-1'!#REF!)</f>
        <v>#REF!</v>
      </c>
      <c r="T62" s="175"/>
      <c r="U62" s="175" t="e">
        <f>IF(R62="-","",INDEX('Inventaire M-1'!$A$2:$AG$9334,MATCH(R62,'Inventaire M-1'!$A:$A,0)-1,MATCH("Cours EUR",'Inventaire M-1'!#REF!,0)))</f>
        <v>#REF!</v>
      </c>
      <c r="V62" s="175" t="e">
        <f>IF(R62="-","",IF(ISERROR(INDEX('Inventaire M'!$A$2:$AD$9319,MATCH(R62,'Inventaire M'!$A:$A,0)-1,MATCH("Cours EUR",'Inventaire M'!#REF!,0))),"Sell",INDEX('Inventaire M'!$A$2:$AD$9319,MATCH(R62,'Inventaire M'!$A:$A,0)-1,MATCH("Cours EUR",'Inventaire M'!#REF!,0))))</f>
        <v>#REF!</v>
      </c>
      <c r="W62" s="175"/>
      <c r="X62" s="156" t="e">
        <f>IF(R62="-","",INDEX('Inventaire M-1'!$A$2:$AG$9334,MATCH(R62,'Inventaire M-1'!$A:$A,0)-1,MATCH("quantite",'Inventaire M-1'!#REF!,0)))</f>
        <v>#REF!</v>
      </c>
      <c r="Y62" s="156" t="e">
        <f>IF(S62="-","",IF(ISERROR(INDEX('Inventaire M'!$A$2:$AD$9319,MATCH(R62,'Inventaire M'!$A:$A,0)-1,MATCH("quantite",'Inventaire M'!#REF!,0))),"Sell",INDEX('Inventaire M'!$A$2:$AD$9319,MATCH(R62,'Inventaire M'!$A:$A,0)-1,MATCH("quantite",'Inventaire M'!#REF!,0))))</f>
        <v>#REF!</v>
      </c>
      <c r="Z62" s="175"/>
      <c r="AA62" s="155" t="e">
        <f>IF(R62="-","",INDEX('Inventaire M-1'!$A$2:$AG$9334,MATCH(R62,'Inventaire M-1'!$A:$A,0)-1,MATCH("poids",'Inventaire M-1'!#REF!,0)))</f>
        <v>#REF!</v>
      </c>
      <c r="AB62" s="155" t="e">
        <f>IF(R62="-","",IF(ISERROR(INDEX('Inventaire M'!$A$2:$AD$9319,MATCH(R62,'Inventaire M'!$A:$A,0)-1,MATCH("poids",'Inventaire M'!#REF!,0))),"Sell",INDEX('Inventaire M'!$A$2:$AD$9319,MATCH(R62,'Inventaire M'!$A:$A,0)-1,MATCH("poids",'Inventaire M'!#REF!,0))))</f>
        <v>#REF!</v>
      </c>
      <c r="AC62" s="175"/>
      <c r="AD62" s="157" t="str">
        <f t="shared" si="3"/>
        <v>0</v>
      </c>
      <c r="AE62" s="98" t="str">
        <f t="shared" si="4"/>
        <v/>
      </c>
      <c r="AF62" s="80" t="e">
        <f t="shared" si="5"/>
        <v>#REF!</v>
      </c>
    </row>
    <row r="63" spans="2:32" outlineLevel="1">
      <c r="B63" s="175" t="e">
        <f>IF(OR('Inventaire M'!#REF!="Dispo/Liquidité Investie",'Inventaire M'!#REF!="Option/Future",'Inventaire M'!#REF!="TCN",'Inventaire M'!#REF!=""),"-",'Inventaire M'!#REF!)</f>
        <v>#REF!</v>
      </c>
      <c r="C63" s="175" t="e">
        <f>IF(OR('Inventaire M'!#REF!="Dispo/Liquidité Investie",'Inventaire M'!#REF!="Option/Future",'Inventaire M'!#REF!="TCN",'Inventaire M'!#REF!=""),"-",'Inventaire M'!#REF!)</f>
        <v>#REF!</v>
      </c>
      <c r="D63" s="175"/>
      <c r="E63" s="175" t="e">
        <f>IF(B63="-","",INDEX('Inventaire M'!$A$2:$AW$9305,MATCH(B63,'Inventaire M'!$A:$A,0)-1,MATCH("Cours EUR",'Inventaire M'!#REF!,0)))</f>
        <v>#REF!</v>
      </c>
      <c r="F63" s="175" t="e">
        <f>IF(B63="-","",IF(ISERROR(INDEX('Inventaire M-1'!$A$2:$AZ$9320,MATCH(B63,'Inventaire M-1'!$A:$A,0)-1,MATCH("Cours EUR",'Inventaire M-1'!#REF!,0))),"Buy",INDEX('Inventaire M-1'!$A$2:$AZ$9320,MATCH(B63,'Inventaire M-1'!$A:$A,0)-1,MATCH("Cours EUR",'Inventaire M-1'!#REF!,0))))</f>
        <v>#REF!</v>
      </c>
      <c r="G63" s="175"/>
      <c r="H63" s="156" t="e">
        <f>IF(B63="-","",INDEX('Inventaire M'!$A$2:$AW$9305,MATCH(B63,'Inventaire M'!$A:$A,0)-1,MATCH("quantite",'Inventaire M'!#REF!,0)))</f>
        <v>#REF!</v>
      </c>
      <c r="I63" s="156" t="e">
        <f>IF(C63="-","",IF(ISERROR(INDEX('Inventaire M-1'!$A$2:$AZ$9320,MATCH(B63,'Inventaire M-1'!$A:$A,0)-1,MATCH("quantite",'Inventaire M-1'!#REF!,0))),"Buy",INDEX('Inventaire M-1'!$A$2:$AZ$9320,MATCH(B63,'Inventaire M-1'!$A:$A,0)-1,MATCH("quantite",'Inventaire M-1'!#REF!,0))))</f>
        <v>#REF!</v>
      </c>
      <c r="J63" s="175"/>
      <c r="K63" s="155" t="e">
        <f>IF(B63="-","",INDEX('Inventaire M'!$A$2:$AW$9305,MATCH(B63,'Inventaire M'!$A:$A,0)-1,MATCH("poids",'Inventaire M'!#REF!,0)))</f>
        <v>#REF!</v>
      </c>
      <c r="L63" s="155" t="e">
        <f>IF(B63="-","",IF(ISERROR(INDEX('Inventaire M-1'!$A$2:$AZ$9320,MATCH(B63,'Inventaire M-1'!$A:$A,0)-1,MATCH("poids",'Inventaire M-1'!#REF!,0))),"Buy",INDEX('Inventaire M-1'!$A$2:$AZ$9320,MATCH(B63,'Inventaire M-1'!$A:$A,0)-1,MATCH("poids",'Inventaire M-1'!#REF!,0))))</f>
        <v>#REF!</v>
      </c>
      <c r="M63" s="175"/>
      <c r="N63" s="157" t="str">
        <f t="shared" si="0"/>
        <v>0</v>
      </c>
      <c r="O63" s="98" t="str">
        <f t="shared" si="1"/>
        <v/>
      </c>
      <c r="P63" s="80" t="e">
        <f t="shared" si="2"/>
        <v>#REF!</v>
      </c>
      <c r="Q63" s="75">
        <v>3.9000000000000002E-9</v>
      </c>
      <c r="R63" s="175" t="e">
        <f>IF(OR('Inventaire M-1'!#REF!="Dispo/Liquidité Investie",'Inventaire M-1'!#REF!="Option/Future",'Inventaire M-1'!#REF!="TCN",'Inventaire M-1'!#REF!=""),"-",'Inventaire M-1'!#REF!)</f>
        <v>#REF!</v>
      </c>
      <c r="S63" s="175" t="e">
        <f>IF(OR('Inventaire M-1'!#REF!="Dispo/Liquidité Investie",'Inventaire M-1'!#REF!="Option/Future",'Inventaire M-1'!#REF!="TCN",'Inventaire M-1'!#REF!=""),"-",'Inventaire M-1'!#REF!)</f>
        <v>#REF!</v>
      </c>
      <c r="T63" s="175"/>
      <c r="U63" s="175" t="e">
        <f>IF(R63="-","",INDEX('Inventaire M-1'!$A$2:$AG$9334,MATCH(R63,'Inventaire M-1'!$A:$A,0)-1,MATCH("Cours EUR",'Inventaire M-1'!#REF!,0)))</f>
        <v>#REF!</v>
      </c>
      <c r="V63" s="175" t="e">
        <f>IF(R63="-","",IF(ISERROR(INDEX('Inventaire M'!$A$2:$AD$9319,MATCH(R63,'Inventaire M'!$A:$A,0)-1,MATCH("Cours EUR",'Inventaire M'!#REF!,0))),"Sell",INDEX('Inventaire M'!$A$2:$AD$9319,MATCH(R63,'Inventaire M'!$A:$A,0)-1,MATCH("Cours EUR",'Inventaire M'!#REF!,0))))</f>
        <v>#REF!</v>
      </c>
      <c r="W63" s="175"/>
      <c r="X63" s="156" t="e">
        <f>IF(R63="-","",INDEX('Inventaire M-1'!$A$2:$AG$9334,MATCH(R63,'Inventaire M-1'!$A:$A,0)-1,MATCH("quantite",'Inventaire M-1'!#REF!,0)))</f>
        <v>#REF!</v>
      </c>
      <c r="Y63" s="156" t="e">
        <f>IF(S63="-","",IF(ISERROR(INDEX('Inventaire M'!$A$2:$AD$9319,MATCH(R63,'Inventaire M'!$A:$A,0)-1,MATCH("quantite",'Inventaire M'!#REF!,0))),"Sell",INDEX('Inventaire M'!$A$2:$AD$9319,MATCH(R63,'Inventaire M'!$A:$A,0)-1,MATCH("quantite",'Inventaire M'!#REF!,0))))</f>
        <v>#REF!</v>
      </c>
      <c r="Z63" s="175"/>
      <c r="AA63" s="155" t="e">
        <f>IF(R63="-","",INDEX('Inventaire M-1'!$A$2:$AG$9334,MATCH(R63,'Inventaire M-1'!$A:$A,0)-1,MATCH("poids",'Inventaire M-1'!#REF!,0)))</f>
        <v>#REF!</v>
      </c>
      <c r="AB63" s="155" t="e">
        <f>IF(R63="-","",IF(ISERROR(INDEX('Inventaire M'!$A$2:$AD$9319,MATCH(R63,'Inventaire M'!$A:$A,0)-1,MATCH("poids",'Inventaire M'!#REF!,0))),"Sell",INDEX('Inventaire M'!$A$2:$AD$9319,MATCH(R63,'Inventaire M'!$A:$A,0)-1,MATCH("poids",'Inventaire M'!#REF!,0))))</f>
        <v>#REF!</v>
      </c>
      <c r="AC63" s="175"/>
      <c r="AD63" s="157" t="str">
        <f t="shared" si="3"/>
        <v>0</v>
      </c>
      <c r="AE63" s="98" t="str">
        <f t="shared" si="4"/>
        <v/>
      </c>
      <c r="AF63" s="80" t="e">
        <f t="shared" si="5"/>
        <v>#REF!</v>
      </c>
    </row>
    <row r="64" spans="2:32" outlineLevel="1">
      <c r="B64" s="175" t="e">
        <f>IF(OR('Inventaire M'!#REF!="Dispo/Liquidité Investie",'Inventaire M'!#REF!="Option/Future",'Inventaire M'!#REF!="TCN",'Inventaire M'!#REF!=""),"-",'Inventaire M'!#REF!)</f>
        <v>#REF!</v>
      </c>
      <c r="C64" s="175" t="e">
        <f>IF(OR('Inventaire M'!#REF!="Dispo/Liquidité Investie",'Inventaire M'!#REF!="Option/Future",'Inventaire M'!#REF!="TCN",'Inventaire M'!#REF!=""),"-",'Inventaire M'!#REF!)</f>
        <v>#REF!</v>
      </c>
      <c r="D64" s="175"/>
      <c r="E64" s="175" t="e">
        <f>IF(B64="-","",INDEX('Inventaire M'!$A$2:$AW$9305,MATCH(B64,'Inventaire M'!$A:$A,0)-1,MATCH("Cours EUR",'Inventaire M'!#REF!,0)))</f>
        <v>#REF!</v>
      </c>
      <c r="F64" s="175" t="e">
        <f>IF(B64="-","",IF(ISERROR(INDEX('Inventaire M-1'!$A$2:$AZ$9320,MATCH(B64,'Inventaire M-1'!$A:$A,0)-1,MATCH("Cours EUR",'Inventaire M-1'!#REF!,0))),"Buy",INDEX('Inventaire M-1'!$A$2:$AZ$9320,MATCH(B64,'Inventaire M-1'!$A:$A,0)-1,MATCH("Cours EUR",'Inventaire M-1'!#REF!,0))))</f>
        <v>#REF!</v>
      </c>
      <c r="G64" s="175"/>
      <c r="H64" s="156" t="e">
        <f>IF(B64="-","",INDEX('Inventaire M'!$A$2:$AW$9305,MATCH(B64,'Inventaire M'!$A:$A,0)-1,MATCH("quantite",'Inventaire M'!#REF!,0)))</f>
        <v>#REF!</v>
      </c>
      <c r="I64" s="156" t="e">
        <f>IF(C64="-","",IF(ISERROR(INDEX('Inventaire M-1'!$A$2:$AZ$9320,MATCH(B64,'Inventaire M-1'!$A:$A,0)-1,MATCH("quantite",'Inventaire M-1'!#REF!,0))),"Buy",INDEX('Inventaire M-1'!$A$2:$AZ$9320,MATCH(B64,'Inventaire M-1'!$A:$A,0)-1,MATCH("quantite",'Inventaire M-1'!#REF!,0))))</f>
        <v>#REF!</v>
      </c>
      <c r="J64" s="175"/>
      <c r="K64" s="155" t="e">
        <f>IF(B64="-","",INDEX('Inventaire M'!$A$2:$AW$9305,MATCH(B64,'Inventaire M'!$A:$A,0)-1,MATCH("poids",'Inventaire M'!#REF!,0)))</f>
        <v>#REF!</v>
      </c>
      <c r="L64" s="155" t="e">
        <f>IF(B64="-","",IF(ISERROR(INDEX('Inventaire M-1'!$A$2:$AZ$9320,MATCH(B64,'Inventaire M-1'!$A:$A,0)-1,MATCH("poids",'Inventaire M-1'!#REF!,0))),"Buy",INDEX('Inventaire M-1'!$A$2:$AZ$9320,MATCH(B64,'Inventaire M-1'!$A:$A,0)-1,MATCH("poids",'Inventaire M-1'!#REF!,0))))</f>
        <v>#REF!</v>
      </c>
      <c r="M64" s="175"/>
      <c r="N64" s="157" t="str">
        <f t="shared" si="0"/>
        <v>0</v>
      </c>
      <c r="O64" s="98" t="str">
        <f t="shared" si="1"/>
        <v/>
      </c>
      <c r="P64" s="80" t="e">
        <f t="shared" si="2"/>
        <v>#REF!</v>
      </c>
      <c r="Q64" s="75">
        <v>4.0000000000000002E-9</v>
      </c>
      <c r="R64" s="175" t="e">
        <f>IF(OR('Inventaire M-1'!#REF!="Dispo/Liquidité Investie",'Inventaire M-1'!#REF!="Option/Future",'Inventaire M-1'!#REF!="TCN",'Inventaire M-1'!#REF!=""),"-",'Inventaire M-1'!#REF!)</f>
        <v>#REF!</v>
      </c>
      <c r="S64" s="175" t="e">
        <f>IF(OR('Inventaire M-1'!#REF!="Dispo/Liquidité Investie",'Inventaire M-1'!#REF!="Option/Future",'Inventaire M-1'!#REF!="TCN",'Inventaire M-1'!#REF!=""),"-",'Inventaire M-1'!#REF!)</f>
        <v>#REF!</v>
      </c>
      <c r="T64" s="175"/>
      <c r="U64" s="175" t="e">
        <f>IF(R64="-","",INDEX('Inventaire M-1'!$A$2:$AG$9334,MATCH(R64,'Inventaire M-1'!$A:$A,0)-1,MATCH("Cours EUR",'Inventaire M-1'!#REF!,0)))</f>
        <v>#REF!</v>
      </c>
      <c r="V64" s="175" t="e">
        <f>IF(R64="-","",IF(ISERROR(INDEX('Inventaire M'!$A$2:$AD$9319,MATCH(R64,'Inventaire M'!$A:$A,0)-1,MATCH("Cours EUR",'Inventaire M'!#REF!,0))),"Sell",INDEX('Inventaire M'!$A$2:$AD$9319,MATCH(R64,'Inventaire M'!$A:$A,0)-1,MATCH("Cours EUR",'Inventaire M'!#REF!,0))))</f>
        <v>#REF!</v>
      </c>
      <c r="W64" s="175"/>
      <c r="X64" s="156" t="e">
        <f>IF(R64="-","",INDEX('Inventaire M-1'!$A$2:$AG$9334,MATCH(R64,'Inventaire M-1'!$A:$A,0)-1,MATCH("quantite",'Inventaire M-1'!#REF!,0)))</f>
        <v>#REF!</v>
      </c>
      <c r="Y64" s="156" t="e">
        <f>IF(S64="-","",IF(ISERROR(INDEX('Inventaire M'!$A$2:$AD$9319,MATCH(R64,'Inventaire M'!$A:$A,0)-1,MATCH("quantite",'Inventaire M'!#REF!,0))),"Sell",INDEX('Inventaire M'!$A$2:$AD$9319,MATCH(R64,'Inventaire M'!$A:$A,0)-1,MATCH("quantite",'Inventaire M'!#REF!,0))))</f>
        <v>#REF!</v>
      </c>
      <c r="Z64" s="175"/>
      <c r="AA64" s="155" t="e">
        <f>IF(R64="-","",INDEX('Inventaire M-1'!$A$2:$AG$9334,MATCH(R64,'Inventaire M-1'!$A:$A,0)-1,MATCH("poids",'Inventaire M-1'!#REF!,0)))</f>
        <v>#REF!</v>
      </c>
      <c r="AB64" s="155" t="e">
        <f>IF(R64="-","",IF(ISERROR(INDEX('Inventaire M'!$A$2:$AD$9319,MATCH(R64,'Inventaire M'!$A:$A,0)-1,MATCH("poids",'Inventaire M'!#REF!,0))),"Sell",INDEX('Inventaire M'!$A$2:$AD$9319,MATCH(R64,'Inventaire M'!$A:$A,0)-1,MATCH("poids",'Inventaire M'!#REF!,0))))</f>
        <v>#REF!</v>
      </c>
      <c r="AC64" s="175"/>
      <c r="AD64" s="157" t="str">
        <f t="shared" si="3"/>
        <v>0</v>
      </c>
      <c r="AE64" s="98" t="str">
        <f t="shared" si="4"/>
        <v/>
      </c>
      <c r="AF64" s="80" t="e">
        <f t="shared" si="5"/>
        <v>#REF!</v>
      </c>
    </row>
    <row r="65" spans="2:32" outlineLevel="1">
      <c r="B65" s="175" t="e">
        <f>IF(OR('Inventaire M'!#REF!="Dispo/Liquidité Investie",'Inventaire M'!#REF!="Option/Future",'Inventaire M'!#REF!="TCN",'Inventaire M'!#REF!=""),"-",'Inventaire M'!#REF!)</f>
        <v>#REF!</v>
      </c>
      <c r="C65" s="175" t="e">
        <f>IF(OR('Inventaire M'!#REF!="Dispo/Liquidité Investie",'Inventaire M'!#REF!="Option/Future",'Inventaire M'!#REF!="TCN",'Inventaire M'!#REF!=""),"-",'Inventaire M'!#REF!)</f>
        <v>#REF!</v>
      </c>
      <c r="D65" s="175"/>
      <c r="E65" s="175" t="e">
        <f>IF(B65="-","",INDEX('Inventaire M'!$A$2:$AW$9305,MATCH(B65,'Inventaire M'!$A:$A,0)-1,MATCH("Cours EUR",'Inventaire M'!#REF!,0)))</f>
        <v>#REF!</v>
      </c>
      <c r="F65" s="175" t="e">
        <f>IF(B65="-","",IF(ISERROR(INDEX('Inventaire M-1'!$A$2:$AZ$9320,MATCH(B65,'Inventaire M-1'!$A:$A,0)-1,MATCH("Cours EUR",'Inventaire M-1'!#REF!,0))),"Buy",INDEX('Inventaire M-1'!$A$2:$AZ$9320,MATCH(B65,'Inventaire M-1'!$A:$A,0)-1,MATCH("Cours EUR",'Inventaire M-1'!#REF!,0))))</f>
        <v>#REF!</v>
      </c>
      <c r="G65" s="175"/>
      <c r="H65" s="156" t="e">
        <f>IF(B65="-","",INDEX('Inventaire M'!$A$2:$AW$9305,MATCH(B65,'Inventaire M'!$A:$A,0)-1,MATCH("quantite",'Inventaire M'!#REF!,0)))</f>
        <v>#REF!</v>
      </c>
      <c r="I65" s="156" t="e">
        <f>IF(C65="-","",IF(ISERROR(INDEX('Inventaire M-1'!$A$2:$AZ$9320,MATCH(B65,'Inventaire M-1'!$A:$A,0)-1,MATCH("quantite",'Inventaire M-1'!#REF!,0))),"Buy",INDEX('Inventaire M-1'!$A$2:$AZ$9320,MATCH(B65,'Inventaire M-1'!$A:$A,0)-1,MATCH("quantite",'Inventaire M-1'!#REF!,0))))</f>
        <v>#REF!</v>
      </c>
      <c r="J65" s="175"/>
      <c r="K65" s="155" t="e">
        <f>IF(B65="-","",INDEX('Inventaire M'!$A$2:$AW$9305,MATCH(B65,'Inventaire M'!$A:$A,0)-1,MATCH("poids",'Inventaire M'!#REF!,0)))</f>
        <v>#REF!</v>
      </c>
      <c r="L65" s="155" t="e">
        <f>IF(B65="-","",IF(ISERROR(INDEX('Inventaire M-1'!$A$2:$AZ$9320,MATCH(B65,'Inventaire M-1'!$A:$A,0)-1,MATCH("poids",'Inventaire M-1'!#REF!,0))),"Buy",INDEX('Inventaire M-1'!$A$2:$AZ$9320,MATCH(B65,'Inventaire M-1'!$A:$A,0)-1,MATCH("poids",'Inventaire M-1'!#REF!,0))))</f>
        <v>#REF!</v>
      </c>
      <c r="M65" s="175"/>
      <c r="N65" s="157" t="str">
        <f t="shared" si="0"/>
        <v>0</v>
      </c>
      <c r="O65" s="98" t="str">
        <f t="shared" si="1"/>
        <v/>
      </c>
      <c r="P65" s="80" t="e">
        <f t="shared" si="2"/>
        <v>#REF!</v>
      </c>
      <c r="Q65" s="75">
        <v>4.1000000000000003E-9</v>
      </c>
      <c r="R65" s="175" t="e">
        <f>IF(OR('Inventaire M-1'!#REF!="Dispo/Liquidité Investie",'Inventaire M-1'!#REF!="Option/Future",'Inventaire M-1'!#REF!="TCN",'Inventaire M-1'!#REF!=""),"-",'Inventaire M-1'!#REF!)</f>
        <v>#REF!</v>
      </c>
      <c r="S65" s="175" t="e">
        <f>IF(OR('Inventaire M-1'!#REF!="Dispo/Liquidité Investie",'Inventaire M-1'!#REF!="Option/Future",'Inventaire M-1'!#REF!="TCN",'Inventaire M-1'!#REF!=""),"-",'Inventaire M-1'!#REF!)</f>
        <v>#REF!</v>
      </c>
      <c r="T65" s="175"/>
      <c r="U65" s="175" t="e">
        <f>IF(R65="-","",INDEX('Inventaire M-1'!$A$2:$AG$9334,MATCH(R65,'Inventaire M-1'!$A:$A,0)-1,MATCH("Cours EUR",'Inventaire M-1'!#REF!,0)))</f>
        <v>#REF!</v>
      </c>
      <c r="V65" s="175" t="e">
        <f>IF(R65="-","",IF(ISERROR(INDEX('Inventaire M'!$A$2:$AD$9319,MATCH(R65,'Inventaire M'!$A:$A,0)-1,MATCH("Cours EUR",'Inventaire M'!#REF!,0))),"Sell",INDEX('Inventaire M'!$A$2:$AD$9319,MATCH(R65,'Inventaire M'!$A:$A,0)-1,MATCH("Cours EUR",'Inventaire M'!#REF!,0))))</f>
        <v>#REF!</v>
      </c>
      <c r="W65" s="175"/>
      <c r="X65" s="156" t="e">
        <f>IF(R65="-","",INDEX('Inventaire M-1'!$A$2:$AG$9334,MATCH(R65,'Inventaire M-1'!$A:$A,0)-1,MATCH("quantite",'Inventaire M-1'!#REF!,0)))</f>
        <v>#REF!</v>
      </c>
      <c r="Y65" s="156" t="e">
        <f>IF(S65="-","",IF(ISERROR(INDEX('Inventaire M'!$A$2:$AD$9319,MATCH(R65,'Inventaire M'!$A:$A,0)-1,MATCH("quantite",'Inventaire M'!#REF!,0))),"Sell",INDEX('Inventaire M'!$A$2:$AD$9319,MATCH(R65,'Inventaire M'!$A:$A,0)-1,MATCH("quantite",'Inventaire M'!#REF!,0))))</f>
        <v>#REF!</v>
      </c>
      <c r="Z65" s="175"/>
      <c r="AA65" s="155" t="e">
        <f>IF(R65="-","",INDEX('Inventaire M-1'!$A$2:$AG$9334,MATCH(R65,'Inventaire M-1'!$A:$A,0)-1,MATCH("poids",'Inventaire M-1'!#REF!,0)))</f>
        <v>#REF!</v>
      </c>
      <c r="AB65" s="155" t="e">
        <f>IF(R65="-","",IF(ISERROR(INDEX('Inventaire M'!$A$2:$AD$9319,MATCH(R65,'Inventaire M'!$A:$A,0)-1,MATCH("poids",'Inventaire M'!#REF!,0))),"Sell",INDEX('Inventaire M'!$A$2:$AD$9319,MATCH(R65,'Inventaire M'!$A:$A,0)-1,MATCH("poids",'Inventaire M'!#REF!,0))))</f>
        <v>#REF!</v>
      </c>
      <c r="AC65" s="175"/>
      <c r="AD65" s="157" t="str">
        <f t="shared" si="3"/>
        <v>0</v>
      </c>
      <c r="AE65" s="98" t="str">
        <f t="shared" si="4"/>
        <v/>
      </c>
      <c r="AF65" s="80" t="e">
        <f t="shared" si="5"/>
        <v>#REF!</v>
      </c>
    </row>
    <row r="66" spans="2:32" outlineLevel="1">
      <c r="B66" s="175" t="e">
        <f>IF(OR('Inventaire M'!#REF!="Dispo/Liquidité Investie",'Inventaire M'!#REF!="Option/Future",'Inventaire M'!#REF!="TCN",'Inventaire M'!#REF!=""),"-",'Inventaire M'!#REF!)</f>
        <v>#REF!</v>
      </c>
      <c r="C66" s="175" t="e">
        <f>IF(OR('Inventaire M'!#REF!="Dispo/Liquidité Investie",'Inventaire M'!#REF!="Option/Future",'Inventaire M'!#REF!="TCN",'Inventaire M'!#REF!=""),"-",'Inventaire M'!#REF!)</f>
        <v>#REF!</v>
      </c>
      <c r="D66" s="175"/>
      <c r="E66" s="175" t="e">
        <f>IF(B66="-","",INDEX('Inventaire M'!$A$2:$AW$9305,MATCH(B66,'Inventaire M'!$A:$A,0)-1,MATCH("Cours EUR",'Inventaire M'!#REF!,0)))</f>
        <v>#REF!</v>
      </c>
      <c r="F66" s="175" t="e">
        <f>IF(B66="-","",IF(ISERROR(INDEX('Inventaire M-1'!$A$2:$AZ$9320,MATCH(B66,'Inventaire M-1'!$A:$A,0)-1,MATCH("Cours EUR",'Inventaire M-1'!#REF!,0))),"Buy",INDEX('Inventaire M-1'!$A$2:$AZ$9320,MATCH(B66,'Inventaire M-1'!$A:$A,0)-1,MATCH("Cours EUR",'Inventaire M-1'!#REF!,0))))</f>
        <v>#REF!</v>
      </c>
      <c r="G66" s="175"/>
      <c r="H66" s="156" t="e">
        <f>IF(B66="-","",INDEX('Inventaire M'!$A$2:$AW$9305,MATCH(B66,'Inventaire M'!$A:$A,0)-1,MATCH("quantite",'Inventaire M'!#REF!,0)))</f>
        <v>#REF!</v>
      </c>
      <c r="I66" s="156" t="e">
        <f>IF(C66="-","",IF(ISERROR(INDEX('Inventaire M-1'!$A$2:$AZ$9320,MATCH(B66,'Inventaire M-1'!$A:$A,0)-1,MATCH("quantite",'Inventaire M-1'!#REF!,0))),"Buy",INDEX('Inventaire M-1'!$A$2:$AZ$9320,MATCH(B66,'Inventaire M-1'!$A:$A,0)-1,MATCH("quantite",'Inventaire M-1'!#REF!,0))))</f>
        <v>#REF!</v>
      </c>
      <c r="J66" s="175"/>
      <c r="K66" s="155" t="e">
        <f>IF(B66="-","",INDEX('Inventaire M'!$A$2:$AW$9305,MATCH(B66,'Inventaire M'!$A:$A,0)-1,MATCH("poids",'Inventaire M'!#REF!,0)))</f>
        <v>#REF!</v>
      </c>
      <c r="L66" s="155" t="e">
        <f>IF(B66="-","",IF(ISERROR(INDEX('Inventaire M-1'!$A$2:$AZ$9320,MATCH(B66,'Inventaire M-1'!$A:$A,0)-1,MATCH("poids",'Inventaire M-1'!#REF!,0))),"Buy",INDEX('Inventaire M-1'!$A$2:$AZ$9320,MATCH(B66,'Inventaire M-1'!$A:$A,0)-1,MATCH("poids",'Inventaire M-1'!#REF!,0))))</f>
        <v>#REF!</v>
      </c>
      <c r="M66" s="175"/>
      <c r="N66" s="157" t="str">
        <f t="shared" si="0"/>
        <v>0</v>
      </c>
      <c r="O66" s="98" t="str">
        <f t="shared" si="1"/>
        <v/>
      </c>
      <c r="P66" s="80" t="e">
        <f t="shared" si="2"/>
        <v>#REF!</v>
      </c>
      <c r="Q66" s="75">
        <v>4.2000000000000004E-9</v>
      </c>
      <c r="R66" s="175" t="e">
        <f>IF(OR('Inventaire M-1'!#REF!="Dispo/Liquidité Investie",'Inventaire M-1'!#REF!="Option/Future",'Inventaire M-1'!#REF!="TCN",'Inventaire M-1'!#REF!=""),"-",'Inventaire M-1'!#REF!)</f>
        <v>#REF!</v>
      </c>
      <c r="S66" s="175" t="e">
        <f>IF(OR('Inventaire M-1'!#REF!="Dispo/Liquidité Investie",'Inventaire M-1'!#REF!="Option/Future",'Inventaire M-1'!#REF!="TCN",'Inventaire M-1'!#REF!=""),"-",'Inventaire M-1'!#REF!)</f>
        <v>#REF!</v>
      </c>
      <c r="T66" s="175"/>
      <c r="U66" s="175" t="e">
        <f>IF(R66="-","",INDEX('Inventaire M-1'!$A$2:$AG$9334,MATCH(R66,'Inventaire M-1'!$A:$A,0)-1,MATCH("Cours EUR",'Inventaire M-1'!#REF!,0)))</f>
        <v>#REF!</v>
      </c>
      <c r="V66" s="175" t="e">
        <f>IF(R66="-","",IF(ISERROR(INDEX('Inventaire M'!$A$2:$AD$9319,MATCH(R66,'Inventaire M'!$A:$A,0)-1,MATCH("Cours EUR",'Inventaire M'!#REF!,0))),"Sell",INDEX('Inventaire M'!$A$2:$AD$9319,MATCH(R66,'Inventaire M'!$A:$A,0)-1,MATCH("Cours EUR",'Inventaire M'!#REF!,0))))</f>
        <v>#REF!</v>
      </c>
      <c r="W66" s="175"/>
      <c r="X66" s="156" t="e">
        <f>IF(R66="-","",INDEX('Inventaire M-1'!$A$2:$AG$9334,MATCH(R66,'Inventaire M-1'!$A:$A,0)-1,MATCH("quantite",'Inventaire M-1'!#REF!,0)))</f>
        <v>#REF!</v>
      </c>
      <c r="Y66" s="156" t="e">
        <f>IF(S66="-","",IF(ISERROR(INDEX('Inventaire M'!$A$2:$AD$9319,MATCH(R66,'Inventaire M'!$A:$A,0)-1,MATCH("quantite",'Inventaire M'!#REF!,0))),"Sell",INDEX('Inventaire M'!$A$2:$AD$9319,MATCH(R66,'Inventaire M'!$A:$A,0)-1,MATCH("quantite",'Inventaire M'!#REF!,0))))</f>
        <v>#REF!</v>
      </c>
      <c r="Z66" s="175"/>
      <c r="AA66" s="155" t="e">
        <f>IF(R66="-","",INDEX('Inventaire M-1'!$A$2:$AG$9334,MATCH(R66,'Inventaire M-1'!$A:$A,0)-1,MATCH("poids",'Inventaire M-1'!#REF!,0)))</f>
        <v>#REF!</v>
      </c>
      <c r="AB66" s="155" t="e">
        <f>IF(R66="-","",IF(ISERROR(INDEX('Inventaire M'!$A$2:$AD$9319,MATCH(R66,'Inventaire M'!$A:$A,0)-1,MATCH("poids",'Inventaire M'!#REF!,0))),"Sell",INDEX('Inventaire M'!$A$2:$AD$9319,MATCH(R66,'Inventaire M'!$A:$A,0)-1,MATCH("poids",'Inventaire M'!#REF!,0))))</f>
        <v>#REF!</v>
      </c>
      <c r="AC66" s="175"/>
      <c r="AD66" s="157" t="str">
        <f t="shared" si="3"/>
        <v>0</v>
      </c>
      <c r="AE66" s="98" t="str">
        <f t="shared" si="4"/>
        <v/>
      </c>
      <c r="AF66" s="80" t="e">
        <f t="shared" si="5"/>
        <v>#REF!</v>
      </c>
    </row>
    <row r="67" spans="2:32" outlineLevel="1">
      <c r="B67" s="175" t="e">
        <f>IF(OR('Inventaire M'!#REF!="Dispo/Liquidité Investie",'Inventaire M'!#REF!="Option/Future",'Inventaire M'!#REF!="TCN",'Inventaire M'!#REF!=""),"-",'Inventaire M'!#REF!)</f>
        <v>#REF!</v>
      </c>
      <c r="C67" s="175" t="e">
        <f>IF(OR('Inventaire M'!#REF!="Dispo/Liquidité Investie",'Inventaire M'!#REF!="Option/Future",'Inventaire M'!#REF!="TCN",'Inventaire M'!#REF!=""),"-",'Inventaire M'!#REF!)</f>
        <v>#REF!</v>
      </c>
      <c r="D67" s="175"/>
      <c r="E67" s="175" t="e">
        <f>IF(B67="-","",INDEX('Inventaire M'!$A$2:$AW$9305,MATCH(B67,'Inventaire M'!$A:$A,0)-1,MATCH("Cours EUR",'Inventaire M'!#REF!,0)))</f>
        <v>#REF!</v>
      </c>
      <c r="F67" s="175" t="e">
        <f>IF(B67="-","",IF(ISERROR(INDEX('Inventaire M-1'!$A$2:$AZ$9320,MATCH(B67,'Inventaire M-1'!$A:$A,0)-1,MATCH("Cours EUR",'Inventaire M-1'!#REF!,0))),"Buy",INDEX('Inventaire M-1'!$A$2:$AZ$9320,MATCH(B67,'Inventaire M-1'!$A:$A,0)-1,MATCH("Cours EUR",'Inventaire M-1'!#REF!,0))))</f>
        <v>#REF!</v>
      </c>
      <c r="G67" s="175"/>
      <c r="H67" s="156" t="e">
        <f>IF(B67="-","",INDEX('Inventaire M'!$A$2:$AW$9305,MATCH(B67,'Inventaire M'!$A:$A,0)-1,MATCH("quantite",'Inventaire M'!#REF!,0)))</f>
        <v>#REF!</v>
      </c>
      <c r="I67" s="156" t="e">
        <f>IF(C67="-","",IF(ISERROR(INDEX('Inventaire M-1'!$A$2:$AZ$9320,MATCH(B67,'Inventaire M-1'!$A:$A,0)-1,MATCH("quantite",'Inventaire M-1'!#REF!,0))),"Buy",INDEX('Inventaire M-1'!$A$2:$AZ$9320,MATCH(B67,'Inventaire M-1'!$A:$A,0)-1,MATCH("quantite",'Inventaire M-1'!#REF!,0))))</f>
        <v>#REF!</v>
      </c>
      <c r="J67" s="175"/>
      <c r="K67" s="155" t="e">
        <f>IF(B67="-","",INDEX('Inventaire M'!$A$2:$AW$9305,MATCH(B67,'Inventaire M'!$A:$A,0)-1,MATCH("poids",'Inventaire M'!#REF!,0)))</f>
        <v>#REF!</v>
      </c>
      <c r="L67" s="155" t="e">
        <f>IF(B67="-","",IF(ISERROR(INDEX('Inventaire M-1'!$A$2:$AZ$9320,MATCH(B67,'Inventaire M-1'!$A:$A,0)-1,MATCH("poids",'Inventaire M-1'!#REF!,0))),"Buy",INDEX('Inventaire M-1'!$A$2:$AZ$9320,MATCH(B67,'Inventaire M-1'!$A:$A,0)-1,MATCH("poids",'Inventaire M-1'!#REF!,0))))</f>
        <v>#REF!</v>
      </c>
      <c r="M67" s="175"/>
      <c r="N67" s="157" t="str">
        <f t="shared" si="0"/>
        <v>0</v>
      </c>
      <c r="O67" s="98" t="str">
        <f t="shared" si="1"/>
        <v/>
      </c>
      <c r="P67" s="80" t="e">
        <f t="shared" si="2"/>
        <v>#REF!</v>
      </c>
      <c r="Q67" s="75">
        <v>4.2999999999999996E-9</v>
      </c>
      <c r="R67" s="175" t="e">
        <f>IF(OR('Inventaire M-1'!#REF!="Dispo/Liquidité Investie",'Inventaire M-1'!#REF!="Option/Future",'Inventaire M-1'!#REF!="TCN",'Inventaire M-1'!#REF!=""),"-",'Inventaire M-1'!#REF!)</f>
        <v>#REF!</v>
      </c>
      <c r="S67" s="175" t="e">
        <f>IF(OR('Inventaire M-1'!#REF!="Dispo/Liquidité Investie",'Inventaire M-1'!#REF!="Option/Future",'Inventaire M-1'!#REF!="TCN",'Inventaire M-1'!#REF!=""),"-",'Inventaire M-1'!#REF!)</f>
        <v>#REF!</v>
      </c>
      <c r="T67" s="175"/>
      <c r="U67" s="175" t="e">
        <f>IF(R67="-","",INDEX('Inventaire M-1'!$A$2:$AG$9334,MATCH(R67,'Inventaire M-1'!$A:$A,0)-1,MATCH("Cours EUR",'Inventaire M-1'!#REF!,0)))</f>
        <v>#REF!</v>
      </c>
      <c r="V67" s="175" t="e">
        <f>IF(R67="-","",IF(ISERROR(INDEX('Inventaire M'!$A$2:$AD$9319,MATCH(R67,'Inventaire M'!$A:$A,0)-1,MATCH("Cours EUR",'Inventaire M'!#REF!,0))),"Sell",INDEX('Inventaire M'!$A$2:$AD$9319,MATCH(R67,'Inventaire M'!$A:$A,0)-1,MATCH("Cours EUR",'Inventaire M'!#REF!,0))))</f>
        <v>#REF!</v>
      </c>
      <c r="W67" s="175"/>
      <c r="X67" s="156" t="e">
        <f>IF(R67="-","",INDEX('Inventaire M-1'!$A$2:$AG$9334,MATCH(R67,'Inventaire M-1'!$A:$A,0)-1,MATCH("quantite",'Inventaire M-1'!#REF!,0)))</f>
        <v>#REF!</v>
      </c>
      <c r="Y67" s="156" t="e">
        <f>IF(S67="-","",IF(ISERROR(INDEX('Inventaire M'!$A$2:$AD$9319,MATCH(R67,'Inventaire M'!$A:$A,0)-1,MATCH("quantite",'Inventaire M'!#REF!,0))),"Sell",INDEX('Inventaire M'!$A$2:$AD$9319,MATCH(R67,'Inventaire M'!$A:$A,0)-1,MATCH("quantite",'Inventaire M'!#REF!,0))))</f>
        <v>#REF!</v>
      </c>
      <c r="Z67" s="175"/>
      <c r="AA67" s="155" t="e">
        <f>IF(R67="-","",INDEX('Inventaire M-1'!$A$2:$AG$9334,MATCH(R67,'Inventaire M-1'!$A:$A,0)-1,MATCH("poids",'Inventaire M-1'!#REF!,0)))</f>
        <v>#REF!</v>
      </c>
      <c r="AB67" s="155" t="e">
        <f>IF(R67="-","",IF(ISERROR(INDEX('Inventaire M'!$A$2:$AD$9319,MATCH(R67,'Inventaire M'!$A:$A,0)-1,MATCH("poids",'Inventaire M'!#REF!,0))),"Sell",INDEX('Inventaire M'!$A$2:$AD$9319,MATCH(R67,'Inventaire M'!$A:$A,0)-1,MATCH("poids",'Inventaire M'!#REF!,0))))</f>
        <v>#REF!</v>
      </c>
      <c r="AC67" s="175"/>
      <c r="AD67" s="157" t="str">
        <f t="shared" si="3"/>
        <v>0</v>
      </c>
      <c r="AE67" s="98" t="str">
        <f t="shared" si="4"/>
        <v/>
      </c>
      <c r="AF67" s="80" t="e">
        <f t="shared" si="5"/>
        <v>#REF!</v>
      </c>
    </row>
    <row r="68" spans="2:32" outlineLevel="1">
      <c r="B68" s="175" t="e">
        <f>IF(OR('Inventaire M'!#REF!="Dispo/Liquidité Investie",'Inventaire M'!#REF!="Option/Future",'Inventaire M'!#REF!="TCN",'Inventaire M'!#REF!=""),"-",'Inventaire M'!#REF!)</f>
        <v>#REF!</v>
      </c>
      <c r="C68" s="175" t="e">
        <f>IF(OR('Inventaire M'!#REF!="Dispo/Liquidité Investie",'Inventaire M'!#REF!="Option/Future",'Inventaire M'!#REF!="TCN",'Inventaire M'!#REF!=""),"-",'Inventaire M'!#REF!)</f>
        <v>#REF!</v>
      </c>
      <c r="D68" s="175"/>
      <c r="E68" s="175" t="e">
        <f>IF(B68="-","",INDEX('Inventaire M'!$A$2:$AW$9305,MATCH(B68,'Inventaire M'!$A:$A,0)-1,MATCH("Cours EUR",'Inventaire M'!#REF!,0)))</f>
        <v>#REF!</v>
      </c>
      <c r="F68" s="175" t="e">
        <f>IF(B68="-","",IF(ISERROR(INDEX('Inventaire M-1'!$A$2:$AZ$9320,MATCH(B68,'Inventaire M-1'!$A:$A,0)-1,MATCH("Cours EUR",'Inventaire M-1'!#REF!,0))),"Buy",INDEX('Inventaire M-1'!$A$2:$AZ$9320,MATCH(B68,'Inventaire M-1'!$A:$A,0)-1,MATCH("Cours EUR",'Inventaire M-1'!#REF!,0))))</f>
        <v>#REF!</v>
      </c>
      <c r="G68" s="175"/>
      <c r="H68" s="156" t="e">
        <f>IF(B68="-","",INDEX('Inventaire M'!$A$2:$AW$9305,MATCH(B68,'Inventaire M'!$A:$A,0)-1,MATCH("quantite",'Inventaire M'!#REF!,0)))</f>
        <v>#REF!</v>
      </c>
      <c r="I68" s="156" t="e">
        <f>IF(C68="-","",IF(ISERROR(INDEX('Inventaire M-1'!$A$2:$AZ$9320,MATCH(B68,'Inventaire M-1'!$A:$A,0)-1,MATCH("quantite",'Inventaire M-1'!#REF!,0))),"Buy",INDEX('Inventaire M-1'!$A$2:$AZ$9320,MATCH(B68,'Inventaire M-1'!$A:$A,0)-1,MATCH("quantite",'Inventaire M-1'!#REF!,0))))</f>
        <v>#REF!</v>
      </c>
      <c r="J68" s="175"/>
      <c r="K68" s="155" t="e">
        <f>IF(B68="-","",INDEX('Inventaire M'!$A$2:$AW$9305,MATCH(B68,'Inventaire M'!$A:$A,0)-1,MATCH("poids",'Inventaire M'!#REF!,0)))</f>
        <v>#REF!</v>
      </c>
      <c r="L68" s="155" t="e">
        <f>IF(B68="-","",IF(ISERROR(INDEX('Inventaire M-1'!$A$2:$AZ$9320,MATCH(B68,'Inventaire M-1'!$A:$A,0)-1,MATCH("poids",'Inventaire M-1'!#REF!,0))),"Buy",INDEX('Inventaire M-1'!$A$2:$AZ$9320,MATCH(B68,'Inventaire M-1'!$A:$A,0)-1,MATCH("poids",'Inventaire M-1'!#REF!,0))))</f>
        <v>#REF!</v>
      </c>
      <c r="M68" s="175"/>
      <c r="N68" s="157" t="str">
        <f t="shared" si="0"/>
        <v>0</v>
      </c>
      <c r="O68" s="98" t="str">
        <f t="shared" si="1"/>
        <v/>
      </c>
      <c r="P68" s="80" t="e">
        <f t="shared" si="2"/>
        <v>#REF!</v>
      </c>
      <c r="Q68" s="75">
        <v>4.3999999999999997E-9</v>
      </c>
      <c r="R68" s="175" t="e">
        <f>IF(OR('Inventaire M-1'!#REF!="Dispo/Liquidité Investie",'Inventaire M-1'!#REF!="Option/Future",'Inventaire M-1'!#REF!="TCN",'Inventaire M-1'!#REF!=""),"-",'Inventaire M-1'!#REF!)</f>
        <v>#REF!</v>
      </c>
      <c r="S68" s="175" t="e">
        <f>IF(OR('Inventaire M-1'!#REF!="Dispo/Liquidité Investie",'Inventaire M-1'!#REF!="Option/Future",'Inventaire M-1'!#REF!="TCN",'Inventaire M-1'!#REF!=""),"-",'Inventaire M-1'!#REF!)</f>
        <v>#REF!</v>
      </c>
      <c r="T68" s="175"/>
      <c r="U68" s="175" t="e">
        <f>IF(R68="-","",INDEX('Inventaire M-1'!$A$2:$AG$9334,MATCH(R68,'Inventaire M-1'!$A:$A,0)-1,MATCH("Cours EUR",'Inventaire M-1'!#REF!,0)))</f>
        <v>#REF!</v>
      </c>
      <c r="V68" s="175" t="e">
        <f>IF(R68="-","",IF(ISERROR(INDEX('Inventaire M'!$A$2:$AD$9319,MATCH(R68,'Inventaire M'!$A:$A,0)-1,MATCH("Cours EUR",'Inventaire M'!#REF!,0))),"Sell",INDEX('Inventaire M'!$A$2:$AD$9319,MATCH(R68,'Inventaire M'!$A:$A,0)-1,MATCH("Cours EUR",'Inventaire M'!#REF!,0))))</f>
        <v>#REF!</v>
      </c>
      <c r="W68" s="175"/>
      <c r="X68" s="156" t="e">
        <f>IF(R68="-","",INDEX('Inventaire M-1'!$A$2:$AG$9334,MATCH(R68,'Inventaire M-1'!$A:$A,0)-1,MATCH("quantite",'Inventaire M-1'!#REF!,0)))</f>
        <v>#REF!</v>
      </c>
      <c r="Y68" s="156" t="e">
        <f>IF(S68="-","",IF(ISERROR(INDEX('Inventaire M'!$A$2:$AD$9319,MATCH(R68,'Inventaire M'!$A:$A,0)-1,MATCH("quantite",'Inventaire M'!#REF!,0))),"Sell",INDEX('Inventaire M'!$A$2:$AD$9319,MATCH(R68,'Inventaire M'!$A:$A,0)-1,MATCH("quantite",'Inventaire M'!#REF!,0))))</f>
        <v>#REF!</v>
      </c>
      <c r="Z68" s="175"/>
      <c r="AA68" s="155" t="e">
        <f>IF(R68="-","",INDEX('Inventaire M-1'!$A$2:$AG$9334,MATCH(R68,'Inventaire M-1'!$A:$A,0)-1,MATCH("poids",'Inventaire M-1'!#REF!,0)))</f>
        <v>#REF!</v>
      </c>
      <c r="AB68" s="155" t="e">
        <f>IF(R68="-","",IF(ISERROR(INDEX('Inventaire M'!$A$2:$AD$9319,MATCH(R68,'Inventaire M'!$A:$A,0)-1,MATCH("poids",'Inventaire M'!#REF!,0))),"Sell",INDEX('Inventaire M'!$A$2:$AD$9319,MATCH(R68,'Inventaire M'!$A:$A,0)-1,MATCH("poids",'Inventaire M'!#REF!,0))))</f>
        <v>#REF!</v>
      </c>
      <c r="AC68" s="175"/>
      <c r="AD68" s="157" t="str">
        <f t="shared" si="3"/>
        <v>0</v>
      </c>
      <c r="AE68" s="98" t="str">
        <f t="shared" si="4"/>
        <v/>
      </c>
      <c r="AF68" s="80" t="e">
        <f t="shared" si="5"/>
        <v>#REF!</v>
      </c>
    </row>
    <row r="69" spans="2:32" outlineLevel="1">
      <c r="B69" s="175" t="e">
        <f>IF(OR('Inventaire M'!#REF!="Dispo/Liquidité Investie",'Inventaire M'!#REF!="Option/Future",'Inventaire M'!#REF!="TCN",'Inventaire M'!#REF!=""),"-",'Inventaire M'!#REF!)</f>
        <v>#REF!</v>
      </c>
      <c r="C69" s="175" t="e">
        <f>IF(OR('Inventaire M'!#REF!="Dispo/Liquidité Investie",'Inventaire M'!#REF!="Option/Future",'Inventaire M'!#REF!="TCN",'Inventaire M'!#REF!=""),"-",'Inventaire M'!#REF!)</f>
        <v>#REF!</v>
      </c>
      <c r="D69" s="175"/>
      <c r="E69" s="175" t="e">
        <f>IF(B69="-","",INDEX('Inventaire M'!$A$2:$AW$9305,MATCH(B69,'Inventaire M'!$A:$A,0)-1,MATCH("Cours EUR",'Inventaire M'!#REF!,0)))</f>
        <v>#REF!</v>
      </c>
      <c r="F69" s="175" t="e">
        <f>IF(B69="-","",IF(ISERROR(INDEX('Inventaire M-1'!$A$2:$AZ$9320,MATCH(B69,'Inventaire M-1'!$A:$A,0)-1,MATCH("Cours EUR",'Inventaire M-1'!#REF!,0))),"Buy",INDEX('Inventaire M-1'!$A$2:$AZ$9320,MATCH(B69,'Inventaire M-1'!$A:$A,0)-1,MATCH("Cours EUR",'Inventaire M-1'!#REF!,0))))</f>
        <v>#REF!</v>
      </c>
      <c r="G69" s="175"/>
      <c r="H69" s="156" t="e">
        <f>IF(B69="-","",INDEX('Inventaire M'!$A$2:$AW$9305,MATCH(B69,'Inventaire M'!$A:$A,0)-1,MATCH("quantite",'Inventaire M'!#REF!,0)))</f>
        <v>#REF!</v>
      </c>
      <c r="I69" s="156" t="e">
        <f>IF(C69="-","",IF(ISERROR(INDEX('Inventaire M-1'!$A$2:$AZ$9320,MATCH(B69,'Inventaire M-1'!$A:$A,0)-1,MATCH("quantite",'Inventaire M-1'!#REF!,0))),"Buy",INDEX('Inventaire M-1'!$A$2:$AZ$9320,MATCH(B69,'Inventaire M-1'!$A:$A,0)-1,MATCH("quantite",'Inventaire M-1'!#REF!,0))))</f>
        <v>#REF!</v>
      </c>
      <c r="J69" s="175"/>
      <c r="K69" s="155" t="e">
        <f>IF(B69="-","",INDEX('Inventaire M'!$A$2:$AW$9305,MATCH(B69,'Inventaire M'!$A:$A,0)-1,MATCH("poids",'Inventaire M'!#REF!,0)))</f>
        <v>#REF!</v>
      </c>
      <c r="L69" s="155" t="e">
        <f>IF(B69="-","",IF(ISERROR(INDEX('Inventaire M-1'!$A$2:$AZ$9320,MATCH(B69,'Inventaire M-1'!$A:$A,0)-1,MATCH("poids",'Inventaire M-1'!#REF!,0))),"Buy",INDEX('Inventaire M-1'!$A$2:$AZ$9320,MATCH(B69,'Inventaire M-1'!$A:$A,0)-1,MATCH("poids",'Inventaire M-1'!#REF!,0))))</f>
        <v>#REF!</v>
      </c>
      <c r="M69" s="175"/>
      <c r="N69" s="157" t="str">
        <f t="shared" si="0"/>
        <v>0</v>
      </c>
      <c r="O69" s="98" t="str">
        <f t="shared" si="1"/>
        <v/>
      </c>
      <c r="P69" s="80" t="e">
        <f t="shared" si="2"/>
        <v>#REF!</v>
      </c>
      <c r="Q69" s="75">
        <v>4.4999999999999998E-9</v>
      </c>
      <c r="R69" s="175" t="e">
        <f>IF(OR('Inventaire M-1'!#REF!="Dispo/Liquidité Investie",'Inventaire M-1'!#REF!="Option/Future",'Inventaire M-1'!#REF!="TCN",'Inventaire M-1'!#REF!=""),"-",'Inventaire M-1'!#REF!)</f>
        <v>#REF!</v>
      </c>
      <c r="S69" s="175" t="e">
        <f>IF(OR('Inventaire M-1'!#REF!="Dispo/Liquidité Investie",'Inventaire M-1'!#REF!="Option/Future",'Inventaire M-1'!#REF!="TCN",'Inventaire M-1'!#REF!=""),"-",'Inventaire M-1'!#REF!)</f>
        <v>#REF!</v>
      </c>
      <c r="T69" s="175"/>
      <c r="U69" s="175" t="e">
        <f>IF(R69="-","",INDEX('Inventaire M-1'!$A$2:$AG$9334,MATCH(R69,'Inventaire M-1'!$A:$A,0)-1,MATCH("Cours EUR",'Inventaire M-1'!#REF!,0)))</f>
        <v>#REF!</v>
      </c>
      <c r="V69" s="175" t="e">
        <f>IF(R69="-","",IF(ISERROR(INDEX('Inventaire M'!$A$2:$AD$9319,MATCH(R69,'Inventaire M'!$A:$A,0)-1,MATCH("Cours EUR",'Inventaire M'!#REF!,0))),"Sell",INDEX('Inventaire M'!$A$2:$AD$9319,MATCH(R69,'Inventaire M'!$A:$A,0)-1,MATCH("Cours EUR",'Inventaire M'!#REF!,0))))</f>
        <v>#REF!</v>
      </c>
      <c r="W69" s="175"/>
      <c r="X69" s="156" t="e">
        <f>IF(R69="-","",INDEX('Inventaire M-1'!$A$2:$AG$9334,MATCH(R69,'Inventaire M-1'!$A:$A,0)-1,MATCH("quantite",'Inventaire M-1'!#REF!,0)))</f>
        <v>#REF!</v>
      </c>
      <c r="Y69" s="156" t="e">
        <f>IF(S69="-","",IF(ISERROR(INDEX('Inventaire M'!$A$2:$AD$9319,MATCH(R69,'Inventaire M'!$A:$A,0)-1,MATCH("quantite",'Inventaire M'!#REF!,0))),"Sell",INDEX('Inventaire M'!$A$2:$AD$9319,MATCH(R69,'Inventaire M'!$A:$A,0)-1,MATCH("quantite",'Inventaire M'!#REF!,0))))</f>
        <v>#REF!</v>
      </c>
      <c r="Z69" s="175"/>
      <c r="AA69" s="155" t="e">
        <f>IF(R69="-","",INDEX('Inventaire M-1'!$A$2:$AG$9334,MATCH(R69,'Inventaire M-1'!$A:$A,0)-1,MATCH("poids",'Inventaire M-1'!#REF!,0)))</f>
        <v>#REF!</v>
      </c>
      <c r="AB69" s="155" t="e">
        <f>IF(R69="-","",IF(ISERROR(INDEX('Inventaire M'!$A$2:$AD$9319,MATCH(R69,'Inventaire M'!$A:$A,0)-1,MATCH("poids",'Inventaire M'!#REF!,0))),"Sell",INDEX('Inventaire M'!$A$2:$AD$9319,MATCH(R69,'Inventaire M'!$A:$A,0)-1,MATCH("poids",'Inventaire M'!#REF!,0))))</f>
        <v>#REF!</v>
      </c>
      <c r="AC69" s="175"/>
      <c r="AD69" s="157" t="str">
        <f t="shared" si="3"/>
        <v>0</v>
      </c>
      <c r="AE69" s="98" t="str">
        <f t="shared" si="4"/>
        <v/>
      </c>
      <c r="AF69" s="80" t="e">
        <f t="shared" si="5"/>
        <v>#REF!</v>
      </c>
    </row>
    <row r="70" spans="2:32" outlineLevel="1">
      <c r="B70" s="175" t="e">
        <f>IF(OR('Inventaire M'!#REF!="Dispo/Liquidité Investie",'Inventaire M'!#REF!="Option/Future",'Inventaire M'!#REF!="TCN",'Inventaire M'!#REF!=""),"-",'Inventaire M'!#REF!)</f>
        <v>#REF!</v>
      </c>
      <c r="C70" s="175" t="e">
        <f>IF(OR('Inventaire M'!#REF!="Dispo/Liquidité Investie",'Inventaire M'!#REF!="Option/Future",'Inventaire M'!#REF!="TCN",'Inventaire M'!#REF!=""),"-",'Inventaire M'!#REF!)</f>
        <v>#REF!</v>
      </c>
      <c r="D70" s="175"/>
      <c r="E70" s="175" t="e">
        <f>IF(B70="-","",INDEX('Inventaire M'!$A$2:$AW$9305,MATCH(B70,'Inventaire M'!$A:$A,0)-1,MATCH("Cours EUR",'Inventaire M'!#REF!,0)))</f>
        <v>#REF!</v>
      </c>
      <c r="F70" s="175" t="e">
        <f>IF(B70="-","",IF(ISERROR(INDEX('Inventaire M-1'!$A$2:$AZ$9320,MATCH(B70,'Inventaire M-1'!$A:$A,0)-1,MATCH("Cours EUR",'Inventaire M-1'!#REF!,0))),"Buy",INDEX('Inventaire M-1'!$A$2:$AZ$9320,MATCH(B70,'Inventaire M-1'!$A:$A,0)-1,MATCH("Cours EUR",'Inventaire M-1'!#REF!,0))))</f>
        <v>#REF!</v>
      </c>
      <c r="G70" s="175"/>
      <c r="H70" s="156" t="e">
        <f>IF(B70="-","",INDEX('Inventaire M'!$A$2:$AW$9305,MATCH(B70,'Inventaire M'!$A:$A,0)-1,MATCH("quantite",'Inventaire M'!#REF!,0)))</f>
        <v>#REF!</v>
      </c>
      <c r="I70" s="156" t="e">
        <f>IF(C70="-","",IF(ISERROR(INDEX('Inventaire M-1'!$A$2:$AZ$9320,MATCH(B70,'Inventaire M-1'!$A:$A,0)-1,MATCH("quantite",'Inventaire M-1'!#REF!,0))),"Buy",INDEX('Inventaire M-1'!$A$2:$AZ$9320,MATCH(B70,'Inventaire M-1'!$A:$A,0)-1,MATCH("quantite",'Inventaire M-1'!#REF!,0))))</f>
        <v>#REF!</v>
      </c>
      <c r="J70" s="175"/>
      <c r="K70" s="155" t="e">
        <f>IF(B70="-","",INDEX('Inventaire M'!$A$2:$AW$9305,MATCH(B70,'Inventaire M'!$A:$A,0)-1,MATCH("poids",'Inventaire M'!#REF!,0)))</f>
        <v>#REF!</v>
      </c>
      <c r="L70" s="155" t="e">
        <f>IF(B70="-","",IF(ISERROR(INDEX('Inventaire M-1'!$A$2:$AZ$9320,MATCH(B70,'Inventaire M-1'!$A:$A,0)-1,MATCH("poids",'Inventaire M-1'!#REF!,0))),"Buy",INDEX('Inventaire M-1'!$A$2:$AZ$9320,MATCH(B70,'Inventaire M-1'!$A:$A,0)-1,MATCH("poids",'Inventaire M-1'!#REF!,0))))</f>
        <v>#REF!</v>
      </c>
      <c r="M70" s="175"/>
      <c r="N70" s="157" t="str">
        <f t="shared" si="0"/>
        <v>0</v>
      </c>
      <c r="O70" s="98" t="str">
        <f t="shared" si="1"/>
        <v/>
      </c>
      <c r="P70" s="80" t="e">
        <f t="shared" si="2"/>
        <v>#REF!</v>
      </c>
      <c r="Q70" s="75">
        <v>4.5999999999999998E-9</v>
      </c>
      <c r="R70" s="175" t="e">
        <f>IF(OR('Inventaire M-1'!#REF!="Dispo/Liquidité Investie",'Inventaire M-1'!#REF!="Option/Future",'Inventaire M-1'!#REF!="TCN",'Inventaire M-1'!#REF!=""),"-",'Inventaire M-1'!#REF!)</f>
        <v>#REF!</v>
      </c>
      <c r="S70" s="175" t="e">
        <f>IF(OR('Inventaire M-1'!#REF!="Dispo/Liquidité Investie",'Inventaire M-1'!#REF!="Option/Future",'Inventaire M-1'!#REF!="TCN",'Inventaire M-1'!#REF!=""),"-",'Inventaire M-1'!#REF!)</f>
        <v>#REF!</v>
      </c>
      <c r="T70" s="175"/>
      <c r="U70" s="175" t="e">
        <f>IF(R70="-","",INDEX('Inventaire M-1'!$A$2:$AG$9334,MATCH(R70,'Inventaire M-1'!$A:$A,0)-1,MATCH("Cours EUR",'Inventaire M-1'!#REF!,0)))</f>
        <v>#REF!</v>
      </c>
      <c r="V70" s="175" t="e">
        <f>IF(R70="-","",IF(ISERROR(INDEX('Inventaire M'!$A$2:$AD$9319,MATCH(R70,'Inventaire M'!$A:$A,0)-1,MATCH("Cours EUR",'Inventaire M'!#REF!,0))),"Sell",INDEX('Inventaire M'!$A$2:$AD$9319,MATCH(R70,'Inventaire M'!$A:$A,0)-1,MATCH("Cours EUR",'Inventaire M'!#REF!,0))))</f>
        <v>#REF!</v>
      </c>
      <c r="W70" s="175"/>
      <c r="X70" s="156" t="e">
        <f>IF(R70="-","",INDEX('Inventaire M-1'!$A$2:$AG$9334,MATCH(R70,'Inventaire M-1'!$A:$A,0)-1,MATCH("quantite",'Inventaire M-1'!#REF!,0)))</f>
        <v>#REF!</v>
      </c>
      <c r="Y70" s="156" t="e">
        <f>IF(S70="-","",IF(ISERROR(INDEX('Inventaire M'!$A$2:$AD$9319,MATCH(R70,'Inventaire M'!$A:$A,0)-1,MATCH("quantite",'Inventaire M'!#REF!,0))),"Sell",INDEX('Inventaire M'!$A$2:$AD$9319,MATCH(R70,'Inventaire M'!$A:$A,0)-1,MATCH("quantite",'Inventaire M'!#REF!,0))))</f>
        <v>#REF!</v>
      </c>
      <c r="Z70" s="175"/>
      <c r="AA70" s="155" t="e">
        <f>IF(R70="-","",INDEX('Inventaire M-1'!$A$2:$AG$9334,MATCH(R70,'Inventaire M-1'!$A:$A,0)-1,MATCH("poids",'Inventaire M-1'!#REF!,0)))</f>
        <v>#REF!</v>
      </c>
      <c r="AB70" s="155" t="e">
        <f>IF(R70="-","",IF(ISERROR(INDEX('Inventaire M'!$A$2:$AD$9319,MATCH(R70,'Inventaire M'!$A:$A,0)-1,MATCH("poids",'Inventaire M'!#REF!,0))),"Sell",INDEX('Inventaire M'!$A$2:$AD$9319,MATCH(R70,'Inventaire M'!$A:$A,0)-1,MATCH("poids",'Inventaire M'!#REF!,0))))</f>
        <v>#REF!</v>
      </c>
      <c r="AC70" s="175"/>
      <c r="AD70" s="157" t="str">
        <f t="shared" si="3"/>
        <v>0</v>
      </c>
      <c r="AE70" s="98" t="str">
        <f t="shared" si="4"/>
        <v/>
      </c>
      <c r="AF70" s="80" t="e">
        <f t="shared" si="5"/>
        <v>#REF!</v>
      </c>
    </row>
    <row r="71" spans="2:32" outlineLevel="1">
      <c r="B71" s="175" t="e">
        <f>IF(OR('Inventaire M'!#REF!="Dispo/Liquidité Investie",'Inventaire M'!#REF!="Option/Future",'Inventaire M'!#REF!="TCN",'Inventaire M'!#REF!=""),"-",'Inventaire M'!#REF!)</f>
        <v>#REF!</v>
      </c>
      <c r="C71" s="175" t="e">
        <f>IF(OR('Inventaire M'!#REF!="Dispo/Liquidité Investie",'Inventaire M'!#REF!="Option/Future",'Inventaire M'!#REF!="TCN",'Inventaire M'!#REF!=""),"-",'Inventaire M'!#REF!)</f>
        <v>#REF!</v>
      </c>
      <c r="D71" s="175"/>
      <c r="E71" s="175" t="e">
        <f>IF(B71="-","",INDEX('Inventaire M'!$A$2:$AW$9305,MATCH(B71,'Inventaire M'!$A:$A,0)-1,MATCH("Cours EUR",'Inventaire M'!#REF!,0)))</f>
        <v>#REF!</v>
      </c>
      <c r="F71" s="175" t="e">
        <f>IF(B71="-","",IF(ISERROR(INDEX('Inventaire M-1'!$A$2:$AZ$9320,MATCH(B71,'Inventaire M-1'!$A:$A,0)-1,MATCH("Cours EUR",'Inventaire M-1'!#REF!,0))),"Buy",INDEX('Inventaire M-1'!$A$2:$AZ$9320,MATCH(B71,'Inventaire M-1'!$A:$A,0)-1,MATCH("Cours EUR",'Inventaire M-1'!#REF!,0))))</f>
        <v>#REF!</v>
      </c>
      <c r="G71" s="175"/>
      <c r="H71" s="156" t="e">
        <f>IF(B71="-","",INDEX('Inventaire M'!$A$2:$AW$9305,MATCH(B71,'Inventaire M'!$A:$A,0)-1,MATCH("quantite",'Inventaire M'!#REF!,0)))</f>
        <v>#REF!</v>
      </c>
      <c r="I71" s="156" t="e">
        <f>IF(C71="-","",IF(ISERROR(INDEX('Inventaire M-1'!$A$2:$AZ$9320,MATCH(B71,'Inventaire M-1'!$A:$A,0)-1,MATCH("quantite",'Inventaire M-1'!#REF!,0))),"Buy",INDEX('Inventaire M-1'!$A$2:$AZ$9320,MATCH(B71,'Inventaire M-1'!$A:$A,0)-1,MATCH("quantite",'Inventaire M-1'!#REF!,0))))</f>
        <v>#REF!</v>
      </c>
      <c r="J71" s="175"/>
      <c r="K71" s="155" t="e">
        <f>IF(B71="-","",INDEX('Inventaire M'!$A$2:$AW$9305,MATCH(B71,'Inventaire M'!$A:$A,0)-1,MATCH("poids",'Inventaire M'!#REF!,0)))</f>
        <v>#REF!</v>
      </c>
      <c r="L71" s="155" t="e">
        <f>IF(B71="-","",IF(ISERROR(INDEX('Inventaire M-1'!$A$2:$AZ$9320,MATCH(B71,'Inventaire M-1'!$A:$A,0)-1,MATCH("poids",'Inventaire M-1'!#REF!,0))),"Buy",INDEX('Inventaire M-1'!$A$2:$AZ$9320,MATCH(B71,'Inventaire M-1'!$A:$A,0)-1,MATCH("poids",'Inventaire M-1'!#REF!,0))))</f>
        <v>#REF!</v>
      </c>
      <c r="M71" s="175"/>
      <c r="N71" s="157" t="str">
        <f t="shared" si="0"/>
        <v>0</v>
      </c>
      <c r="O71" s="98" t="str">
        <f t="shared" si="1"/>
        <v/>
      </c>
      <c r="P71" s="80" t="e">
        <f t="shared" si="2"/>
        <v>#REF!</v>
      </c>
      <c r="Q71" s="75">
        <v>4.6999999999999999E-9</v>
      </c>
      <c r="R71" s="175" t="e">
        <f>IF(OR('Inventaire M-1'!#REF!="Dispo/Liquidité Investie",'Inventaire M-1'!#REF!="Option/Future",'Inventaire M-1'!#REF!="TCN",'Inventaire M-1'!#REF!=""),"-",'Inventaire M-1'!#REF!)</f>
        <v>#REF!</v>
      </c>
      <c r="S71" s="175" t="e">
        <f>IF(OR('Inventaire M-1'!#REF!="Dispo/Liquidité Investie",'Inventaire M-1'!#REF!="Option/Future",'Inventaire M-1'!#REF!="TCN",'Inventaire M-1'!#REF!=""),"-",'Inventaire M-1'!#REF!)</f>
        <v>#REF!</v>
      </c>
      <c r="T71" s="175"/>
      <c r="U71" s="175" t="e">
        <f>IF(R71="-","",INDEX('Inventaire M-1'!$A$2:$AG$9334,MATCH(R71,'Inventaire M-1'!$A:$A,0)-1,MATCH("Cours EUR",'Inventaire M-1'!#REF!,0)))</f>
        <v>#REF!</v>
      </c>
      <c r="V71" s="175" t="e">
        <f>IF(R71="-","",IF(ISERROR(INDEX('Inventaire M'!$A$2:$AD$9319,MATCH(R71,'Inventaire M'!$A:$A,0)-1,MATCH("Cours EUR",'Inventaire M'!#REF!,0))),"Sell",INDEX('Inventaire M'!$A$2:$AD$9319,MATCH(R71,'Inventaire M'!$A:$A,0)-1,MATCH("Cours EUR",'Inventaire M'!#REF!,0))))</f>
        <v>#REF!</v>
      </c>
      <c r="W71" s="175"/>
      <c r="X71" s="156" t="e">
        <f>IF(R71="-","",INDEX('Inventaire M-1'!$A$2:$AG$9334,MATCH(R71,'Inventaire M-1'!$A:$A,0)-1,MATCH("quantite",'Inventaire M-1'!#REF!,0)))</f>
        <v>#REF!</v>
      </c>
      <c r="Y71" s="156" t="e">
        <f>IF(S71="-","",IF(ISERROR(INDEX('Inventaire M'!$A$2:$AD$9319,MATCH(R71,'Inventaire M'!$A:$A,0)-1,MATCH("quantite",'Inventaire M'!#REF!,0))),"Sell",INDEX('Inventaire M'!$A$2:$AD$9319,MATCH(R71,'Inventaire M'!$A:$A,0)-1,MATCH("quantite",'Inventaire M'!#REF!,0))))</f>
        <v>#REF!</v>
      </c>
      <c r="Z71" s="175"/>
      <c r="AA71" s="155" t="e">
        <f>IF(R71="-","",INDEX('Inventaire M-1'!$A$2:$AG$9334,MATCH(R71,'Inventaire M-1'!$A:$A,0)-1,MATCH("poids",'Inventaire M-1'!#REF!,0)))</f>
        <v>#REF!</v>
      </c>
      <c r="AB71" s="155" t="e">
        <f>IF(R71="-","",IF(ISERROR(INDEX('Inventaire M'!$A$2:$AD$9319,MATCH(R71,'Inventaire M'!$A:$A,0)-1,MATCH("poids",'Inventaire M'!#REF!,0))),"Sell",INDEX('Inventaire M'!$A$2:$AD$9319,MATCH(R71,'Inventaire M'!$A:$A,0)-1,MATCH("poids",'Inventaire M'!#REF!,0))))</f>
        <v>#REF!</v>
      </c>
      <c r="AC71" s="175"/>
      <c r="AD71" s="157" t="str">
        <f t="shared" si="3"/>
        <v>0</v>
      </c>
      <c r="AE71" s="98" t="str">
        <f t="shared" si="4"/>
        <v/>
      </c>
      <c r="AF71" s="80" t="e">
        <f t="shared" si="5"/>
        <v>#REF!</v>
      </c>
    </row>
    <row r="72" spans="2:32" outlineLevel="1">
      <c r="B72" s="175" t="e">
        <f>IF(OR('Inventaire M'!#REF!="Dispo/Liquidité Investie",'Inventaire M'!#REF!="Option/Future",'Inventaire M'!#REF!="TCN",'Inventaire M'!#REF!=""),"-",'Inventaire M'!#REF!)</f>
        <v>#REF!</v>
      </c>
      <c r="C72" s="175" t="e">
        <f>IF(OR('Inventaire M'!#REF!="Dispo/Liquidité Investie",'Inventaire M'!#REF!="Option/Future",'Inventaire M'!#REF!="TCN",'Inventaire M'!#REF!=""),"-",'Inventaire M'!#REF!)</f>
        <v>#REF!</v>
      </c>
      <c r="D72" s="175"/>
      <c r="E72" s="175" t="e">
        <f>IF(B72="-","",INDEX('Inventaire M'!$A$2:$AW$9305,MATCH(B72,'Inventaire M'!$A:$A,0)-1,MATCH("Cours EUR",'Inventaire M'!#REF!,0)))</f>
        <v>#REF!</v>
      </c>
      <c r="F72" s="175" t="e">
        <f>IF(B72="-","",IF(ISERROR(INDEX('Inventaire M-1'!$A$2:$AZ$9320,MATCH(B72,'Inventaire M-1'!$A:$A,0)-1,MATCH("Cours EUR",'Inventaire M-1'!#REF!,0))),"Buy",INDEX('Inventaire M-1'!$A$2:$AZ$9320,MATCH(B72,'Inventaire M-1'!$A:$A,0)-1,MATCH("Cours EUR",'Inventaire M-1'!#REF!,0))))</f>
        <v>#REF!</v>
      </c>
      <c r="G72" s="175"/>
      <c r="H72" s="156" t="e">
        <f>IF(B72="-","",INDEX('Inventaire M'!$A$2:$AW$9305,MATCH(B72,'Inventaire M'!$A:$A,0)-1,MATCH("quantite",'Inventaire M'!#REF!,0)))</f>
        <v>#REF!</v>
      </c>
      <c r="I72" s="156" t="e">
        <f>IF(C72="-","",IF(ISERROR(INDEX('Inventaire M-1'!$A$2:$AZ$9320,MATCH(B72,'Inventaire M-1'!$A:$A,0)-1,MATCH("quantite",'Inventaire M-1'!#REF!,0))),"Buy",INDEX('Inventaire M-1'!$A$2:$AZ$9320,MATCH(B72,'Inventaire M-1'!$A:$A,0)-1,MATCH("quantite",'Inventaire M-1'!#REF!,0))))</f>
        <v>#REF!</v>
      </c>
      <c r="J72" s="175"/>
      <c r="K72" s="155" t="e">
        <f>IF(B72="-","",INDEX('Inventaire M'!$A$2:$AW$9305,MATCH(B72,'Inventaire M'!$A:$A,0)-1,MATCH("poids",'Inventaire M'!#REF!,0)))</f>
        <v>#REF!</v>
      </c>
      <c r="L72" s="155" t="e">
        <f>IF(B72="-","",IF(ISERROR(INDEX('Inventaire M-1'!$A$2:$AZ$9320,MATCH(B72,'Inventaire M-1'!$A:$A,0)-1,MATCH("poids",'Inventaire M-1'!#REF!,0))),"Buy",INDEX('Inventaire M-1'!$A$2:$AZ$9320,MATCH(B72,'Inventaire M-1'!$A:$A,0)-1,MATCH("poids",'Inventaire M-1'!#REF!,0))))</f>
        <v>#REF!</v>
      </c>
      <c r="M72" s="175"/>
      <c r="N72" s="157" t="str">
        <f t="shared" si="0"/>
        <v>0</v>
      </c>
      <c r="O72" s="98" t="str">
        <f t="shared" si="1"/>
        <v/>
      </c>
      <c r="P72" s="80" t="e">
        <f t="shared" si="2"/>
        <v>#REF!</v>
      </c>
      <c r="Q72" s="75">
        <v>4.8E-9</v>
      </c>
      <c r="R72" s="175" t="e">
        <f>IF(OR('Inventaire M-1'!#REF!="Dispo/Liquidité Investie",'Inventaire M-1'!#REF!="Option/Future",'Inventaire M-1'!#REF!="TCN",'Inventaire M-1'!#REF!=""),"-",'Inventaire M-1'!#REF!)</f>
        <v>#REF!</v>
      </c>
      <c r="S72" s="175" t="e">
        <f>IF(OR('Inventaire M-1'!#REF!="Dispo/Liquidité Investie",'Inventaire M-1'!#REF!="Option/Future",'Inventaire M-1'!#REF!="TCN",'Inventaire M-1'!#REF!=""),"-",'Inventaire M-1'!#REF!)</f>
        <v>#REF!</v>
      </c>
      <c r="T72" s="175"/>
      <c r="U72" s="175" t="e">
        <f>IF(R72="-","",INDEX('Inventaire M-1'!$A$2:$AG$9334,MATCH(R72,'Inventaire M-1'!$A:$A,0)-1,MATCH("Cours EUR",'Inventaire M-1'!#REF!,0)))</f>
        <v>#REF!</v>
      </c>
      <c r="V72" s="175" t="e">
        <f>IF(R72="-","",IF(ISERROR(INDEX('Inventaire M'!$A$2:$AD$9319,MATCH(R72,'Inventaire M'!$A:$A,0)-1,MATCH("Cours EUR",'Inventaire M'!#REF!,0))),"Sell",INDEX('Inventaire M'!$A$2:$AD$9319,MATCH(R72,'Inventaire M'!$A:$A,0)-1,MATCH("Cours EUR",'Inventaire M'!#REF!,0))))</f>
        <v>#REF!</v>
      </c>
      <c r="W72" s="175"/>
      <c r="X72" s="156" t="e">
        <f>IF(R72="-","",INDEX('Inventaire M-1'!$A$2:$AG$9334,MATCH(R72,'Inventaire M-1'!$A:$A,0)-1,MATCH("quantite",'Inventaire M-1'!#REF!,0)))</f>
        <v>#REF!</v>
      </c>
      <c r="Y72" s="156" t="e">
        <f>IF(S72="-","",IF(ISERROR(INDEX('Inventaire M'!$A$2:$AD$9319,MATCH(R72,'Inventaire M'!$A:$A,0)-1,MATCH("quantite",'Inventaire M'!#REF!,0))),"Sell",INDEX('Inventaire M'!$A$2:$AD$9319,MATCH(R72,'Inventaire M'!$A:$A,0)-1,MATCH("quantite",'Inventaire M'!#REF!,0))))</f>
        <v>#REF!</v>
      </c>
      <c r="Z72" s="175"/>
      <c r="AA72" s="155" t="e">
        <f>IF(R72="-","",INDEX('Inventaire M-1'!$A$2:$AG$9334,MATCH(R72,'Inventaire M-1'!$A:$A,0)-1,MATCH("poids",'Inventaire M-1'!#REF!,0)))</f>
        <v>#REF!</v>
      </c>
      <c r="AB72" s="155" t="e">
        <f>IF(R72="-","",IF(ISERROR(INDEX('Inventaire M'!$A$2:$AD$9319,MATCH(R72,'Inventaire M'!$A:$A,0)-1,MATCH("poids",'Inventaire M'!#REF!,0))),"Sell",INDEX('Inventaire M'!$A$2:$AD$9319,MATCH(R72,'Inventaire M'!$A:$A,0)-1,MATCH("poids",'Inventaire M'!#REF!,0))))</f>
        <v>#REF!</v>
      </c>
      <c r="AC72" s="175"/>
      <c r="AD72" s="157" t="str">
        <f t="shared" si="3"/>
        <v>0</v>
      </c>
      <c r="AE72" s="98" t="str">
        <f t="shared" si="4"/>
        <v/>
      </c>
      <c r="AF72" s="80" t="e">
        <f t="shared" si="5"/>
        <v>#REF!</v>
      </c>
    </row>
    <row r="73" spans="2:32" outlineLevel="1">
      <c r="B73" s="175" t="e">
        <f>IF(OR('Inventaire M'!#REF!="Dispo/Liquidité Investie",'Inventaire M'!#REF!="Option/Future",'Inventaire M'!#REF!="TCN",'Inventaire M'!#REF!=""),"-",'Inventaire M'!#REF!)</f>
        <v>#REF!</v>
      </c>
      <c r="C73" s="175" t="e">
        <f>IF(OR('Inventaire M'!#REF!="Dispo/Liquidité Investie",'Inventaire M'!#REF!="Option/Future",'Inventaire M'!#REF!="TCN",'Inventaire M'!#REF!=""),"-",'Inventaire M'!#REF!)</f>
        <v>#REF!</v>
      </c>
      <c r="D73" s="175"/>
      <c r="E73" s="175" t="e">
        <f>IF(B73="-","",INDEX('Inventaire M'!$A$2:$AW$9305,MATCH(B73,'Inventaire M'!$A:$A,0)-1,MATCH("Cours EUR",'Inventaire M'!#REF!,0)))</f>
        <v>#REF!</v>
      </c>
      <c r="F73" s="175" t="e">
        <f>IF(B73="-","",IF(ISERROR(INDEX('Inventaire M-1'!$A$2:$AZ$9320,MATCH(B73,'Inventaire M-1'!$A:$A,0)-1,MATCH("Cours EUR",'Inventaire M-1'!#REF!,0))),"Buy",INDEX('Inventaire M-1'!$A$2:$AZ$9320,MATCH(B73,'Inventaire M-1'!$A:$A,0)-1,MATCH("Cours EUR",'Inventaire M-1'!#REF!,0))))</f>
        <v>#REF!</v>
      </c>
      <c r="G73" s="175"/>
      <c r="H73" s="156" t="e">
        <f>IF(B73="-","",INDEX('Inventaire M'!$A$2:$AW$9305,MATCH(B73,'Inventaire M'!$A:$A,0)-1,MATCH("quantite",'Inventaire M'!#REF!,0)))</f>
        <v>#REF!</v>
      </c>
      <c r="I73" s="156" t="e">
        <f>IF(C73="-","",IF(ISERROR(INDEX('Inventaire M-1'!$A$2:$AZ$9320,MATCH(B73,'Inventaire M-1'!$A:$A,0)-1,MATCH("quantite",'Inventaire M-1'!#REF!,0))),"Buy",INDEX('Inventaire M-1'!$A$2:$AZ$9320,MATCH(B73,'Inventaire M-1'!$A:$A,0)-1,MATCH("quantite",'Inventaire M-1'!#REF!,0))))</f>
        <v>#REF!</v>
      </c>
      <c r="J73" s="175"/>
      <c r="K73" s="155" t="e">
        <f>IF(B73="-","",INDEX('Inventaire M'!$A$2:$AW$9305,MATCH(B73,'Inventaire M'!$A:$A,0)-1,MATCH("poids",'Inventaire M'!#REF!,0)))</f>
        <v>#REF!</v>
      </c>
      <c r="L73" s="155" t="e">
        <f>IF(B73="-","",IF(ISERROR(INDEX('Inventaire M-1'!$A$2:$AZ$9320,MATCH(B73,'Inventaire M-1'!$A:$A,0)-1,MATCH("poids",'Inventaire M-1'!#REF!,0))),"Buy",INDEX('Inventaire M-1'!$A$2:$AZ$9320,MATCH(B73,'Inventaire M-1'!$A:$A,0)-1,MATCH("poids",'Inventaire M-1'!#REF!,0))))</f>
        <v>#REF!</v>
      </c>
      <c r="M73" s="175"/>
      <c r="N73" s="157" t="str">
        <f t="shared" si="0"/>
        <v>0</v>
      </c>
      <c r="O73" s="98" t="str">
        <f t="shared" si="1"/>
        <v/>
      </c>
      <c r="P73" s="80" t="e">
        <f t="shared" si="2"/>
        <v>#REF!</v>
      </c>
      <c r="Q73" s="75">
        <v>4.9E-9</v>
      </c>
      <c r="R73" s="175" t="e">
        <f>IF(OR('Inventaire M-1'!#REF!="Dispo/Liquidité Investie",'Inventaire M-1'!#REF!="Option/Future",'Inventaire M-1'!#REF!="TCN",'Inventaire M-1'!#REF!=""),"-",'Inventaire M-1'!#REF!)</f>
        <v>#REF!</v>
      </c>
      <c r="S73" s="175" t="e">
        <f>IF(OR('Inventaire M-1'!#REF!="Dispo/Liquidité Investie",'Inventaire M-1'!#REF!="Option/Future",'Inventaire M-1'!#REF!="TCN",'Inventaire M-1'!#REF!=""),"-",'Inventaire M-1'!#REF!)</f>
        <v>#REF!</v>
      </c>
      <c r="T73" s="175"/>
      <c r="U73" s="175" t="e">
        <f>IF(R73="-","",INDEX('Inventaire M-1'!$A$2:$AG$9334,MATCH(R73,'Inventaire M-1'!$A:$A,0)-1,MATCH("Cours EUR",'Inventaire M-1'!#REF!,0)))</f>
        <v>#REF!</v>
      </c>
      <c r="V73" s="175" t="e">
        <f>IF(R73="-","",IF(ISERROR(INDEX('Inventaire M'!$A$2:$AD$9319,MATCH(R73,'Inventaire M'!$A:$A,0)-1,MATCH("Cours EUR",'Inventaire M'!#REF!,0))),"Sell",INDEX('Inventaire M'!$A$2:$AD$9319,MATCH(R73,'Inventaire M'!$A:$A,0)-1,MATCH("Cours EUR",'Inventaire M'!#REF!,0))))</f>
        <v>#REF!</v>
      </c>
      <c r="W73" s="175"/>
      <c r="X73" s="156" t="e">
        <f>IF(R73="-","",INDEX('Inventaire M-1'!$A$2:$AG$9334,MATCH(R73,'Inventaire M-1'!$A:$A,0)-1,MATCH("quantite",'Inventaire M-1'!#REF!,0)))</f>
        <v>#REF!</v>
      </c>
      <c r="Y73" s="156" t="e">
        <f>IF(S73="-","",IF(ISERROR(INDEX('Inventaire M'!$A$2:$AD$9319,MATCH(R73,'Inventaire M'!$A:$A,0)-1,MATCH("quantite",'Inventaire M'!#REF!,0))),"Sell",INDEX('Inventaire M'!$A$2:$AD$9319,MATCH(R73,'Inventaire M'!$A:$A,0)-1,MATCH("quantite",'Inventaire M'!#REF!,0))))</f>
        <v>#REF!</v>
      </c>
      <c r="Z73" s="175"/>
      <c r="AA73" s="155" t="e">
        <f>IF(R73="-","",INDEX('Inventaire M-1'!$A$2:$AG$9334,MATCH(R73,'Inventaire M-1'!$A:$A,0)-1,MATCH("poids",'Inventaire M-1'!#REF!,0)))</f>
        <v>#REF!</v>
      </c>
      <c r="AB73" s="155" t="e">
        <f>IF(R73="-","",IF(ISERROR(INDEX('Inventaire M'!$A$2:$AD$9319,MATCH(R73,'Inventaire M'!$A:$A,0)-1,MATCH("poids",'Inventaire M'!#REF!,0))),"Sell",INDEX('Inventaire M'!$A$2:$AD$9319,MATCH(R73,'Inventaire M'!$A:$A,0)-1,MATCH("poids",'Inventaire M'!#REF!,0))))</f>
        <v>#REF!</v>
      </c>
      <c r="AC73" s="175"/>
      <c r="AD73" s="157" t="str">
        <f t="shared" si="3"/>
        <v>0</v>
      </c>
      <c r="AE73" s="98" t="str">
        <f t="shared" si="4"/>
        <v/>
      </c>
      <c r="AF73" s="80" t="e">
        <f t="shared" si="5"/>
        <v>#REF!</v>
      </c>
    </row>
    <row r="74" spans="2:32" outlineLevel="1">
      <c r="B74" s="175" t="e">
        <f>IF(OR('Inventaire M'!#REF!="Dispo/Liquidité Investie",'Inventaire M'!#REF!="Option/Future",'Inventaire M'!#REF!="TCN",'Inventaire M'!#REF!=""),"-",'Inventaire M'!#REF!)</f>
        <v>#REF!</v>
      </c>
      <c r="C74" s="175" t="e">
        <f>IF(OR('Inventaire M'!#REF!="Dispo/Liquidité Investie",'Inventaire M'!#REF!="Option/Future",'Inventaire M'!#REF!="TCN",'Inventaire M'!#REF!=""),"-",'Inventaire M'!#REF!)</f>
        <v>#REF!</v>
      </c>
      <c r="D74" s="175"/>
      <c r="E74" s="175" t="e">
        <f>IF(B74="-","",INDEX('Inventaire M'!$A$2:$AW$9305,MATCH(B74,'Inventaire M'!$A:$A,0)-1,MATCH("Cours EUR",'Inventaire M'!#REF!,0)))</f>
        <v>#REF!</v>
      </c>
      <c r="F74" s="175" t="e">
        <f>IF(B74="-","",IF(ISERROR(INDEX('Inventaire M-1'!$A$2:$AZ$9320,MATCH(B74,'Inventaire M-1'!$A:$A,0)-1,MATCH("Cours EUR",'Inventaire M-1'!#REF!,0))),"Buy",INDEX('Inventaire M-1'!$A$2:$AZ$9320,MATCH(B74,'Inventaire M-1'!$A:$A,0)-1,MATCH("Cours EUR",'Inventaire M-1'!#REF!,0))))</f>
        <v>#REF!</v>
      </c>
      <c r="G74" s="175"/>
      <c r="H74" s="156" t="e">
        <f>IF(B74="-","",INDEX('Inventaire M'!$A$2:$AW$9305,MATCH(B74,'Inventaire M'!$A:$A,0)-1,MATCH("quantite",'Inventaire M'!#REF!,0)))</f>
        <v>#REF!</v>
      </c>
      <c r="I74" s="156" t="e">
        <f>IF(C74="-","",IF(ISERROR(INDEX('Inventaire M-1'!$A$2:$AZ$9320,MATCH(B74,'Inventaire M-1'!$A:$A,0)-1,MATCH("quantite",'Inventaire M-1'!#REF!,0))),"Buy",INDEX('Inventaire M-1'!$A$2:$AZ$9320,MATCH(B74,'Inventaire M-1'!$A:$A,0)-1,MATCH("quantite",'Inventaire M-1'!#REF!,0))))</f>
        <v>#REF!</v>
      </c>
      <c r="J74" s="175"/>
      <c r="K74" s="155" t="e">
        <f>IF(B74="-","",INDEX('Inventaire M'!$A$2:$AW$9305,MATCH(B74,'Inventaire M'!$A:$A,0)-1,MATCH("poids",'Inventaire M'!#REF!,0)))</f>
        <v>#REF!</v>
      </c>
      <c r="L74" s="155" t="e">
        <f>IF(B74="-","",IF(ISERROR(INDEX('Inventaire M-1'!$A$2:$AZ$9320,MATCH(B74,'Inventaire M-1'!$A:$A,0)-1,MATCH("poids",'Inventaire M-1'!#REF!,0))),"Buy",INDEX('Inventaire M-1'!$A$2:$AZ$9320,MATCH(B74,'Inventaire M-1'!$A:$A,0)-1,MATCH("poids",'Inventaire M-1'!#REF!,0))))</f>
        <v>#REF!</v>
      </c>
      <c r="M74" s="175"/>
      <c r="N74" s="157" t="str">
        <f t="shared" si="0"/>
        <v>0</v>
      </c>
      <c r="O74" s="98" t="str">
        <f t="shared" si="1"/>
        <v/>
      </c>
      <c r="P74" s="80" t="e">
        <f t="shared" si="2"/>
        <v>#REF!</v>
      </c>
      <c r="Q74" s="75">
        <v>5.0000000000000001E-9</v>
      </c>
      <c r="R74" s="175" t="e">
        <f>IF(OR('Inventaire M-1'!#REF!="Dispo/Liquidité Investie",'Inventaire M-1'!#REF!="Option/Future",'Inventaire M-1'!#REF!="TCN",'Inventaire M-1'!#REF!=""),"-",'Inventaire M-1'!#REF!)</f>
        <v>#REF!</v>
      </c>
      <c r="S74" s="175" t="e">
        <f>IF(OR('Inventaire M-1'!#REF!="Dispo/Liquidité Investie",'Inventaire M-1'!#REF!="Option/Future",'Inventaire M-1'!#REF!="TCN",'Inventaire M-1'!#REF!=""),"-",'Inventaire M-1'!#REF!)</f>
        <v>#REF!</v>
      </c>
      <c r="T74" s="175"/>
      <c r="U74" s="175" t="e">
        <f>IF(R74="-","",INDEX('Inventaire M-1'!$A$2:$AG$9334,MATCH(R74,'Inventaire M-1'!$A:$A,0)-1,MATCH("Cours EUR",'Inventaire M-1'!#REF!,0)))</f>
        <v>#REF!</v>
      </c>
      <c r="V74" s="175" t="e">
        <f>IF(R74="-","",IF(ISERROR(INDEX('Inventaire M'!$A$2:$AD$9319,MATCH(R74,'Inventaire M'!$A:$A,0)-1,MATCH("Cours EUR",'Inventaire M'!#REF!,0))),"Sell",INDEX('Inventaire M'!$A$2:$AD$9319,MATCH(R74,'Inventaire M'!$A:$A,0)-1,MATCH("Cours EUR",'Inventaire M'!#REF!,0))))</f>
        <v>#REF!</v>
      </c>
      <c r="W74" s="175"/>
      <c r="X74" s="156" t="e">
        <f>IF(R74="-","",INDEX('Inventaire M-1'!$A$2:$AG$9334,MATCH(R74,'Inventaire M-1'!$A:$A,0)-1,MATCH("quantite",'Inventaire M-1'!#REF!,0)))</f>
        <v>#REF!</v>
      </c>
      <c r="Y74" s="156" t="e">
        <f>IF(S74="-","",IF(ISERROR(INDEX('Inventaire M'!$A$2:$AD$9319,MATCH(R74,'Inventaire M'!$A:$A,0)-1,MATCH("quantite",'Inventaire M'!#REF!,0))),"Sell",INDEX('Inventaire M'!$A$2:$AD$9319,MATCH(R74,'Inventaire M'!$A:$A,0)-1,MATCH("quantite",'Inventaire M'!#REF!,0))))</f>
        <v>#REF!</v>
      </c>
      <c r="Z74" s="175"/>
      <c r="AA74" s="155" t="e">
        <f>IF(R74="-","",INDEX('Inventaire M-1'!$A$2:$AG$9334,MATCH(R74,'Inventaire M-1'!$A:$A,0)-1,MATCH("poids",'Inventaire M-1'!#REF!,0)))</f>
        <v>#REF!</v>
      </c>
      <c r="AB74" s="155" t="e">
        <f>IF(R74="-","",IF(ISERROR(INDEX('Inventaire M'!$A$2:$AD$9319,MATCH(R74,'Inventaire M'!$A:$A,0)-1,MATCH("poids",'Inventaire M'!#REF!,0))),"Sell",INDEX('Inventaire M'!$A$2:$AD$9319,MATCH(R74,'Inventaire M'!$A:$A,0)-1,MATCH("poids",'Inventaire M'!#REF!,0))))</f>
        <v>#REF!</v>
      </c>
      <c r="AC74" s="175"/>
      <c r="AD74" s="157" t="str">
        <f t="shared" si="3"/>
        <v>0</v>
      </c>
      <c r="AE74" s="98" t="str">
        <f t="shared" si="4"/>
        <v/>
      </c>
      <c r="AF74" s="80" t="e">
        <f t="shared" si="5"/>
        <v>#REF!</v>
      </c>
    </row>
    <row r="75" spans="2:32" outlineLevel="1">
      <c r="B75" s="175" t="e">
        <f>IF(OR('Inventaire M'!#REF!="Dispo/Liquidité Investie",'Inventaire M'!#REF!="Option/Future",'Inventaire M'!#REF!="TCN",'Inventaire M'!#REF!=""),"-",'Inventaire M'!#REF!)</f>
        <v>#REF!</v>
      </c>
      <c r="C75" s="175" t="e">
        <f>IF(OR('Inventaire M'!#REF!="Dispo/Liquidité Investie",'Inventaire M'!#REF!="Option/Future",'Inventaire M'!#REF!="TCN",'Inventaire M'!#REF!=""),"-",'Inventaire M'!#REF!)</f>
        <v>#REF!</v>
      </c>
      <c r="D75" s="175"/>
      <c r="E75" s="175" t="e">
        <f>IF(B75="-","",INDEX('Inventaire M'!$A$2:$AW$9305,MATCH(B75,'Inventaire M'!$A:$A,0)-1,MATCH("Cours EUR",'Inventaire M'!#REF!,0)))</f>
        <v>#REF!</v>
      </c>
      <c r="F75" s="175" t="e">
        <f>IF(B75="-","",IF(ISERROR(INDEX('Inventaire M-1'!$A$2:$AZ$9320,MATCH(B75,'Inventaire M-1'!$A:$A,0)-1,MATCH("Cours EUR",'Inventaire M-1'!#REF!,0))),"Buy",INDEX('Inventaire M-1'!$A$2:$AZ$9320,MATCH(B75,'Inventaire M-1'!$A:$A,0)-1,MATCH("Cours EUR",'Inventaire M-1'!#REF!,0))))</f>
        <v>#REF!</v>
      </c>
      <c r="G75" s="175"/>
      <c r="H75" s="156" t="e">
        <f>IF(B75="-","",INDEX('Inventaire M'!$A$2:$AW$9305,MATCH(B75,'Inventaire M'!$A:$A,0)-1,MATCH("quantite",'Inventaire M'!#REF!,0)))</f>
        <v>#REF!</v>
      </c>
      <c r="I75" s="156" t="e">
        <f>IF(C75="-","",IF(ISERROR(INDEX('Inventaire M-1'!$A$2:$AZ$9320,MATCH(B75,'Inventaire M-1'!$A:$A,0)-1,MATCH("quantite",'Inventaire M-1'!#REF!,0))),"Buy",INDEX('Inventaire M-1'!$A$2:$AZ$9320,MATCH(B75,'Inventaire M-1'!$A:$A,0)-1,MATCH("quantite",'Inventaire M-1'!#REF!,0))))</f>
        <v>#REF!</v>
      </c>
      <c r="J75" s="175"/>
      <c r="K75" s="155" t="e">
        <f>IF(B75="-","",INDEX('Inventaire M'!$A$2:$AW$9305,MATCH(B75,'Inventaire M'!$A:$A,0)-1,MATCH("poids",'Inventaire M'!#REF!,0)))</f>
        <v>#REF!</v>
      </c>
      <c r="L75" s="155" t="e">
        <f>IF(B75="-","",IF(ISERROR(INDEX('Inventaire M-1'!$A$2:$AZ$9320,MATCH(B75,'Inventaire M-1'!$A:$A,0)-1,MATCH("poids",'Inventaire M-1'!#REF!,0))),"Buy",INDEX('Inventaire M-1'!$A$2:$AZ$9320,MATCH(B75,'Inventaire M-1'!$A:$A,0)-1,MATCH("poids",'Inventaire M-1'!#REF!,0))))</f>
        <v>#REF!</v>
      </c>
      <c r="M75" s="175"/>
      <c r="N75" s="157" t="str">
        <f t="shared" si="0"/>
        <v>0</v>
      </c>
      <c r="O75" s="98" t="str">
        <f t="shared" si="1"/>
        <v/>
      </c>
      <c r="P75" s="80" t="e">
        <f t="shared" si="2"/>
        <v>#REF!</v>
      </c>
      <c r="Q75" s="75">
        <v>5.1000000000000002E-9</v>
      </c>
      <c r="R75" s="175" t="e">
        <f>IF(OR('Inventaire M-1'!#REF!="Dispo/Liquidité Investie",'Inventaire M-1'!#REF!="Option/Future",'Inventaire M-1'!#REF!="TCN",'Inventaire M-1'!#REF!=""),"-",'Inventaire M-1'!#REF!)</f>
        <v>#REF!</v>
      </c>
      <c r="S75" s="175" t="e">
        <f>IF(OR('Inventaire M-1'!#REF!="Dispo/Liquidité Investie",'Inventaire M-1'!#REF!="Option/Future",'Inventaire M-1'!#REF!="TCN",'Inventaire M-1'!#REF!=""),"-",'Inventaire M-1'!#REF!)</f>
        <v>#REF!</v>
      </c>
      <c r="T75" s="175"/>
      <c r="U75" s="175" t="e">
        <f>IF(R75="-","",INDEX('Inventaire M-1'!$A$2:$AG$9334,MATCH(R75,'Inventaire M-1'!$A:$A,0)-1,MATCH("Cours EUR",'Inventaire M-1'!#REF!,0)))</f>
        <v>#REF!</v>
      </c>
      <c r="V75" s="175" t="e">
        <f>IF(R75="-","",IF(ISERROR(INDEX('Inventaire M'!$A$2:$AD$9319,MATCH(R75,'Inventaire M'!$A:$A,0)-1,MATCH("Cours EUR",'Inventaire M'!#REF!,0))),"Sell",INDEX('Inventaire M'!$A$2:$AD$9319,MATCH(R75,'Inventaire M'!$A:$A,0)-1,MATCH("Cours EUR",'Inventaire M'!#REF!,0))))</f>
        <v>#REF!</v>
      </c>
      <c r="W75" s="175"/>
      <c r="X75" s="156" t="e">
        <f>IF(R75="-","",INDEX('Inventaire M-1'!$A$2:$AG$9334,MATCH(R75,'Inventaire M-1'!$A:$A,0)-1,MATCH("quantite",'Inventaire M-1'!#REF!,0)))</f>
        <v>#REF!</v>
      </c>
      <c r="Y75" s="156" t="e">
        <f>IF(S75="-","",IF(ISERROR(INDEX('Inventaire M'!$A$2:$AD$9319,MATCH(R75,'Inventaire M'!$A:$A,0)-1,MATCH("quantite",'Inventaire M'!#REF!,0))),"Sell",INDEX('Inventaire M'!$A$2:$AD$9319,MATCH(R75,'Inventaire M'!$A:$A,0)-1,MATCH("quantite",'Inventaire M'!#REF!,0))))</f>
        <v>#REF!</v>
      </c>
      <c r="Z75" s="175"/>
      <c r="AA75" s="155" t="e">
        <f>IF(R75="-","",INDEX('Inventaire M-1'!$A$2:$AG$9334,MATCH(R75,'Inventaire M-1'!$A:$A,0)-1,MATCH("poids",'Inventaire M-1'!#REF!,0)))</f>
        <v>#REF!</v>
      </c>
      <c r="AB75" s="155" t="e">
        <f>IF(R75="-","",IF(ISERROR(INDEX('Inventaire M'!$A$2:$AD$9319,MATCH(R75,'Inventaire M'!$A:$A,0)-1,MATCH("poids",'Inventaire M'!#REF!,0))),"Sell",INDEX('Inventaire M'!$A$2:$AD$9319,MATCH(R75,'Inventaire M'!$A:$A,0)-1,MATCH("poids",'Inventaire M'!#REF!,0))))</f>
        <v>#REF!</v>
      </c>
      <c r="AC75" s="175"/>
      <c r="AD75" s="157" t="str">
        <f t="shared" si="3"/>
        <v>0</v>
      </c>
      <c r="AE75" s="98" t="str">
        <f t="shared" si="4"/>
        <v/>
      </c>
      <c r="AF75" s="80" t="e">
        <f t="shared" si="5"/>
        <v>#REF!</v>
      </c>
    </row>
    <row r="76" spans="2:32" outlineLevel="1">
      <c r="B76" s="175" t="e">
        <f>IF(OR('Inventaire M'!#REF!="Dispo/Liquidité Investie",'Inventaire M'!#REF!="Option/Future",'Inventaire M'!#REF!="TCN",'Inventaire M'!#REF!=""),"-",'Inventaire M'!#REF!)</f>
        <v>#REF!</v>
      </c>
      <c r="C76" s="175" t="e">
        <f>IF(OR('Inventaire M'!#REF!="Dispo/Liquidité Investie",'Inventaire M'!#REF!="Option/Future",'Inventaire M'!#REF!="TCN",'Inventaire M'!#REF!=""),"-",'Inventaire M'!#REF!)</f>
        <v>#REF!</v>
      </c>
      <c r="D76" s="175"/>
      <c r="E76" s="175" t="e">
        <f>IF(B76="-","",INDEX('Inventaire M'!$A$2:$AW$9305,MATCH(B76,'Inventaire M'!$A:$A,0)-1,MATCH("Cours EUR",'Inventaire M'!#REF!,0)))</f>
        <v>#REF!</v>
      </c>
      <c r="F76" s="175" t="e">
        <f>IF(B76="-","",IF(ISERROR(INDEX('Inventaire M-1'!$A$2:$AZ$9320,MATCH(B76,'Inventaire M-1'!$A:$A,0)-1,MATCH("Cours EUR",'Inventaire M-1'!#REF!,0))),"Buy",INDEX('Inventaire M-1'!$A$2:$AZ$9320,MATCH(B76,'Inventaire M-1'!$A:$A,0)-1,MATCH("Cours EUR",'Inventaire M-1'!#REF!,0))))</f>
        <v>#REF!</v>
      </c>
      <c r="G76" s="175"/>
      <c r="H76" s="156" t="e">
        <f>IF(B76="-","",INDEX('Inventaire M'!$A$2:$AW$9305,MATCH(B76,'Inventaire M'!$A:$A,0)-1,MATCH("quantite",'Inventaire M'!#REF!,0)))</f>
        <v>#REF!</v>
      </c>
      <c r="I76" s="156" t="e">
        <f>IF(C76="-","",IF(ISERROR(INDEX('Inventaire M-1'!$A$2:$AZ$9320,MATCH(B76,'Inventaire M-1'!$A:$A,0)-1,MATCH("quantite",'Inventaire M-1'!#REF!,0))),"Buy",INDEX('Inventaire M-1'!$A$2:$AZ$9320,MATCH(B76,'Inventaire M-1'!$A:$A,0)-1,MATCH("quantite",'Inventaire M-1'!#REF!,0))))</f>
        <v>#REF!</v>
      </c>
      <c r="J76" s="175"/>
      <c r="K76" s="155" t="e">
        <f>IF(B76="-","",INDEX('Inventaire M'!$A$2:$AW$9305,MATCH(B76,'Inventaire M'!$A:$A,0)-1,MATCH("poids",'Inventaire M'!#REF!,0)))</f>
        <v>#REF!</v>
      </c>
      <c r="L76" s="155" t="e">
        <f>IF(B76="-","",IF(ISERROR(INDEX('Inventaire M-1'!$A$2:$AZ$9320,MATCH(B76,'Inventaire M-1'!$A:$A,0)-1,MATCH("poids",'Inventaire M-1'!#REF!,0))),"Buy",INDEX('Inventaire M-1'!$A$2:$AZ$9320,MATCH(B76,'Inventaire M-1'!$A:$A,0)-1,MATCH("poids",'Inventaire M-1'!#REF!,0))))</f>
        <v>#REF!</v>
      </c>
      <c r="M76" s="175"/>
      <c r="N76" s="157" t="str">
        <f t="shared" si="0"/>
        <v>0</v>
      </c>
      <c r="O76" s="98" t="str">
        <f t="shared" si="1"/>
        <v/>
      </c>
      <c r="P76" s="80" t="e">
        <f t="shared" si="2"/>
        <v>#REF!</v>
      </c>
      <c r="Q76" s="75">
        <v>5.2000000000000002E-9</v>
      </c>
      <c r="R76" s="175" t="e">
        <f>IF(OR('Inventaire M-1'!#REF!="Dispo/Liquidité Investie",'Inventaire M-1'!#REF!="Option/Future",'Inventaire M-1'!#REF!="TCN",'Inventaire M-1'!#REF!=""),"-",'Inventaire M-1'!#REF!)</f>
        <v>#REF!</v>
      </c>
      <c r="S76" s="175" t="e">
        <f>IF(OR('Inventaire M-1'!#REF!="Dispo/Liquidité Investie",'Inventaire M-1'!#REF!="Option/Future",'Inventaire M-1'!#REF!="TCN",'Inventaire M-1'!#REF!=""),"-",'Inventaire M-1'!#REF!)</f>
        <v>#REF!</v>
      </c>
      <c r="T76" s="175"/>
      <c r="U76" s="175" t="e">
        <f>IF(R76="-","",INDEX('Inventaire M-1'!$A$2:$AG$9334,MATCH(R76,'Inventaire M-1'!$A:$A,0)-1,MATCH("Cours EUR",'Inventaire M-1'!#REF!,0)))</f>
        <v>#REF!</v>
      </c>
      <c r="V76" s="175" t="e">
        <f>IF(R76="-","",IF(ISERROR(INDEX('Inventaire M'!$A$2:$AD$9319,MATCH(R76,'Inventaire M'!$A:$A,0)-1,MATCH("Cours EUR",'Inventaire M'!#REF!,0))),"Sell",INDEX('Inventaire M'!$A$2:$AD$9319,MATCH(R76,'Inventaire M'!$A:$A,0)-1,MATCH("Cours EUR",'Inventaire M'!#REF!,0))))</f>
        <v>#REF!</v>
      </c>
      <c r="W76" s="175"/>
      <c r="X76" s="156" t="e">
        <f>IF(R76="-","",INDEX('Inventaire M-1'!$A$2:$AG$9334,MATCH(R76,'Inventaire M-1'!$A:$A,0)-1,MATCH("quantite",'Inventaire M-1'!#REF!,0)))</f>
        <v>#REF!</v>
      </c>
      <c r="Y76" s="156" t="e">
        <f>IF(S76="-","",IF(ISERROR(INDEX('Inventaire M'!$A$2:$AD$9319,MATCH(R76,'Inventaire M'!$A:$A,0)-1,MATCH("quantite",'Inventaire M'!#REF!,0))),"Sell",INDEX('Inventaire M'!$A$2:$AD$9319,MATCH(R76,'Inventaire M'!$A:$A,0)-1,MATCH("quantite",'Inventaire M'!#REF!,0))))</f>
        <v>#REF!</v>
      </c>
      <c r="Z76" s="175"/>
      <c r="AA76" s="155" t="e">
        <f>IF(R76="-","",INDEX('Inventaire M-1'!$A$2:$AG$9334,MATCH(R76,'Inventaire M-1'!$A:$A,0)-1,MATCH("poids",'Inventaire M-1'!#REF!,0)))</f>
        <v>#REF!</v>
      </c>
      <c r="AB76" s="155" t="e">
        <f>IF(R76="-","",IF(ISERROR(INDEX('Inventaire M'!$A$2:$AD$9319,MATCH(R76,'Inventaire M'!$A:$A,0)-1,MATCH("poids",'Inventaire M'!#REF!,0))),"Sell",INDEX('Inventaire M'!$A$2:$AD$9319,MATCH(R76,'Inventaire M'!$A:$A,0)-1,MATCH("poids",'Inventaire M'!#REF!,0))))</f>
        <v>#REF!</v>
      </c>
      <c r="AC76" s="175"/>
      <c r="AD76" s="157" t="str">
        <f t="shared" si="3"/>
        <v>0</v>
      </c>
      <c r="AE76" s="98" t="str">
        <f t="shared" si="4"/>
        <v/>
      </c>
      <c r="AF76" s="80" t="e">
        <f t="shared" si="5"/>
        <v>#REF!</v>
      </c>
    </row>
    <row r="77" spans="2:32" outlineLevel="1">
      <c r="B77" s="175" t="e">
        <f>IF(OR('Inventaire M'!#REF!="Dispo/Liquidité Investie",'Inventaire M'!#REF!="Option/Future",'Inventaire M'!#REF!="TCN",'Inventaire M'!#REF!=""),"-",'Inventaire M'!#REF!)</f>
        <v>#REF!</v>
      </c>
      <c r="C77" s="175" t="e">
        <f>IF(OR('Inventaire M'!#REF!="Dispo/Liquidité Investie",'Inventaire M'!#REF!="Option/Future",'Inventaire M'!#REF!="TCN",'Inventaire M'!#REF!=""),"-",'Inventaire M'!#REF!)</f>
        <v>#REF!</v>
      </c>
      <c r="D77" s="175"/>
      <c r="E77" s="175" t="e">
        <f>IF(B77="-","",INDEX('Inventaire M'!$A$2:$AW$9305,MATCH(B77,'Inventaire M'!$A:$A,0)-1,MATCH("Cours EUR",'Inventaire M'!#REF!,0)))</f>
        <v>#REF!</v>
      </c>
      <c r="F77" s="175" t="e">
        <f>IF(B77="-","",IF(ISERROR(INDEX('Inventaire M-1'!$A$2:$AZ$9320,MATCH(B77,'Inventaire M-1'!$A:$A,0)-1,MATCH("Cours EUR",'Inventaire M-1'!#REF!,0))),"Buy",INDEX('Inventaire M-1'!$A$2:$AZ$9320,MATCH(B77,'Inventaire M-1'!$A:$A,0)-1,MATCH("Cours EUR",'Inventaire M-1'!#REF!,0))))</f>
        <v>#REF!</v>
      </c>
      <c r="G77" s="175"/>
      <c r="H77" s="156" t="e">
        <f>IF(B77="-","",INDEX('Inventaire M'!$A$2:$AW$9305,MATCH(B77,'Inventaire M'!$A:$A,0)-1,MATCH("quantite",'Inventaire M'!#REF!,0)))</f>
        <v>#REF!</v>
      </c>
      <c r="I77" s="156" t="e">
        <f>IF(C77="-","",IF(ISERROR(INDEX('Inventaire M-1'!$A$2:$AZ$9320,MATCH(B77,'Inventaire M-1'!$A:$A,0)-1,MATCH("quantite",'Inventaire M-1'!#REF!,0))),"Buy",INDEX('Inventaire M-1'!$A$2:$AZ$9320,MATCH(B77,'Inventaire M-1'!$A:$A,0)-1,MATCH("quantite",'Inventaire M-1'!#REF!,0))))</f>
        <v>#REF!</v>
      </c>
      <c r="J77" s="175"/>
      <c r="K77" s="155" t="e">
        <f>IF(B77="-","",INDEX('Inventaire M'!$A$2:$AW$9305,MATCH(B77,'Inventaire M'!$A:$A,0)-1,MATCH("poids",'Inventaire M'!#REF!,0)))</f>
        <v>#REF!</v>
      </c>
      <c r="L77" s="155" t="e">
        <f>IF(B77="-","",IF(ISERROR(INDEX('Inventaire M-1'!$A$2:$AZ$9320,MATCH(B77,'Inventaire M-1'!$A:$A,0)-1,MATCH("poids",'Inventaire M-1'!#REF!,0))),"Buy",INDEX('Inventaire M-1'!$A$2:$AZ$9320,MATCH(B77,'Inventaire M-1'!$A:$A,0)-1,MATCH("poids",'Inventaire M-1'!#REF!,0))))</f>
        <v>#REF!</v>
      </c>
      <c r="M77" s="175"/>
      <c r="N77" s="157" t="str">
        <f t="shared" si="0"/>
        <v>0</v>
      </c>
      <c r="O77" s="98" t="str">
        <f t="shared" si="1"/>
        <v/>
      </c>
      <c r="P77" s="80" t="e">
        <f t="shared" si="2"/>
        <v>#REF!</v>
      </c>
      <c r="Q77" s="75">
        <v>5.3000000000000003E-9</v>
      </c>
      <c r="R77" s="175" t="e">
        <f>IF(OR('Inventaire M-1'!#REF!="Dispo/Liquidité Investie",'Inventaire M-1'!#REF!="Option/Future",'Inventaire M-1'!#REF!="TCN",'Inventaire M-1'!#REF!=""),"-",'Inventaire M-1'!#REF!)</f>
        <v>#REF!</v>
      </c>
      <c r="S77" s="175" t="e">
        <f>IF(OR('Inventaire M-1'!#REF!="Dispo/Liquidité Investie",'Inventaire M-1'!#REF!="Option/Future",'Inventaire M-1'!#REF!="TCN",'Inventaire M-1'!#REF!=""),"-",'Inventaire M-1'!#REF!)</f>
        <v>#REF!</v>
      </c>
      <c r="T77" s="175"/>
      <c r="U77" s="175" t="e">
        <f>IF(R77="-","",INDEX('Inventaire M-1'!$A$2:$AG$9334,MATCH(R77,'Inventaire M-1'!$A:$A,0)-1,MATCH("Cours EUR",'Inventaire M-1'!#REF!,0)))</f>
        <v>#REF!</v>
      </c>
      <c r="V77" s="175" t="e">
        <f>IF(R77="-","",IF(ISERROR(INDEX('Inventaire M'!$A$2:$AD$9319,MATCH(R77,'Inventaire M'!$A:$A,0)-1,MATCH("Cours EUR",'Inventaire M'!#REF!,0))),"Sell",INDEX('Inventaire M'!$A$2:$AD$9319,MATCH(R77,'Inventaire M'!$A:$A,0)-1,MATCH("Cours EUR",'Inventaire M'!#REF!,0))))</f>
        <v>#REF!</v>
      </c>
      <c r="W77" s="175"/>
      <c r="X77" s="156" t="e">
        <f>IF(R77="-","",INDEX('Inventaire M-1'!$A$2:$AG$9334,MATCH(R77,'Inventaire M-1'!$A:$A,0)-1,MATCH("quantite",'Inventaire M-1'!#REF!,0)))</f>
        <v>#REF!</v>
      </c>
      <c r="Y77" s="156" t="e">
        <f>IF(S77="-","",IF(ISERROR(INDEX('Inventaire M'!$A$2:$AD$9319,MATCH(R77,'Inventaire M'!$A:$A,0)-1,MATCH("quantite",'Inventaire M'!#REF!,0))),"Sell",INDEX('Inventaire M'!$A$2:$AD$9319,MATCH(R77,'Inventaire M'!$A:$A,0)-1,MATCH("quantite",'Inventaire M'!#REF!,0))))</f>
        <v>#REF!</v>
      </c>
      <c r="Z77" s="175"/>
      <c r="AA77" s="155" t="e">
        <f>IF(R77="-","",INDEX('Inventaire M-1'!$A$2:$AG$9334,MATCH(R77,'Inventaire M-1'!$A:$A,0)-1,MATCH("poids",'Inventaire M-1'!#REF!,0)))</f>
        <v>#REF!</v>
      </c>
      <c r="AB77" s="155" t="e">
        <f>IF(R77="-","",IF(ISERROR(INDEX('Inventaire M'!$A$2:$AD$9319,MATCH(R77,'Inventaire M'!$A:$A,0)-1,MATCH("poids",'Inventaire M'!#REF!,0))),"Sell",INDEX('Inventaire M'!$A$2:$AD$9319,MATCH(R77,'Inventaire M'!$A:$A,0)-1,MATCH("poids",'Inventaire M'!#REF!,0))))</f>
        <v>#REF!</v>
      </c>
      <c r="AC77" s="175"/>
      <c r="AD77" s="157" t="str">
        <f t="shared" si="3"/>
        <v>0</v>
      </c>
      <c r="AE77" s="98" t="str">
        <f t="shared" si="4"/>
        <v/>
      </c>
      <c r="AF77" s="80" t="e">
        <f t="shared" si="5"/>
        <v>#REF!</v>
      </c>
    </row>
    <row r="78" spans="2:32" outlineLevel="1">
      <c r="B78" s="175" t="e">
        <f>IF(OR('Inventaire M'!#REF!="Dispo/Liquidité Investie",'Inventaire M'!#REF!="Option/Future",'Inventaire M'!#REF!="TCN",'Inventaire M'!#REF!=""),"-",'Inventaire M'!#REF!)</f>
        <v>#REF!</v>
      </c>
      <c r="C78" s="175" t="e">
        <f>IF(OR('Inventaire M'!#REF!="Dispo/Liquidité Investie",'Inventaire M'!#REF!="Option/Future",'Inventaire M'!#REF!="TCN",'Inventaire M'!#REF!=""),"-",'Inventaire M'!#REF!)</f>
        <v>#REF!</v>
      </c>
      <c r="D78" s="175"/>
      <c r="E78" s="175" t="e">
        <f>IF(B78="-","",INDEX('Inventaire M'!$A$2:$AW$9305,MATCH(B78,'Inventaire M'!$A:$A,0)-1,MATCH("Cours EUR",'Inventaire M'!#REF!,0)))</f>
        <v>#REF!</v>
      </c>
      <c r="F78" s="175" t="e">
        <f>IF(B78="-","",IF(ISERROR(INDEX('Inventaire M-1'!$A$2:$AZ$9320,MATCH(B78,'Inventaire M-1'!$A:$A,0)-1,MATCH("Cours EUR",'Inventaire M-1'!#REF!,0))),"Buy",INDEX('Inventaire M-1'!$A$2:$AZ$9320,MATCH(B78,'Inventaire M-1'!$A:$A,0)-1,MATCH("Cours EUR",'Inventaire M-1'!#REF!,0))))</f>
        <v>#REF!</v>
      </c>
      <c r="G78" s="175"/>
      <c r="H78" s="156" t="e">
        <f>IF(B78="-","",INDEX('Inventaire M'!$A$2:$AW$9305,MATCH(B78,'Inventaire M'!$A:$A,0)-1,MATCH("quantite",'Inventaire M'!#REF!,0)))</f>
        <v>#REF!</v>
      </c>
      <c r="I78" s="156" t="e">
        <f>IF(C78="-","",IF(ISERROR(INDEX('Inventaire M-1'!$A$2:$AZ$9320,MATCH(B78,'Inventaire M-1'!$A:$A,0)-1,MATCH("quantite",'Inventaire M-1'!#REF!,0))),"Buy",INDEX('Inventaire M-1'!$A$2:$AZ$9320,MATCH(B78,'Inventaire M-1'!$A:$A,0)-1,MATCH("quantite",'Inventaire M-1'!#REF!,0))))</f>
        <v>#REF!</v>
      </c>
      <c r="J78" s="175"/>
      <c r="K78" s="155" t="e">
        <f>IF(B78="-","",INDEX('Inventaire M'!$A$2:$AW$9305,MATCH(B78,'Inventaire M'!$A:$A,0)-1,MATCH("poids",'Inventaire M'!#REF!,0)))</f>
        <v>#REF!</v>
      </c>
      <c r="L78" s="155" t="e">
        <f>IF(B78="-","",IF(ISERROR(INDEX('Inventaire M-1'!$A$2:$AZ$9320,MATCH(B78,'Inventaire M-1'!$A:$A,0)-1,MATCH("poids",'Inventaire M-1'!#REF!,0))),"Buy",INDEX('Inventaire M-1'!$A$2:$AZ$9320,MATCH(B78,'Inventaire M-1'!$A:$A,0)-1,MATCH("poids",'Inventaire M-1'!#REF!,0))))</f>
        <v>#REF!</v>
      </c>
      <c r="M78" s="175"/>
      <c r="N78" s="157" t="str">
        <f t="shared" si="0"/>
        <v>0</v>
      </c>
      <c r="O78" s="98" t="str">
        <f t="shared" si="1"/>
        <v/>
      </c>
      <c r="P78" s="80" t="e">
        <f t="shared" si="2"/>
        <v>#REF!</v>
      </c>
      <c r="Q78" s="75">
        <v>5.4000000000000004E-9</v>
      </c>
      <c r="R78" s="175" t="e">
        <f>IF(OR('Inventaire M-1'!#REF!="Dispo/Liquidité Investie",'Inventaire M-1'!#REF!="Option/Future",'Inventaire M-1'!#REF!="TCN",'Inventaire M-1'!#REF!=""),"-",'Inventaire M-1'!#REF!)</f>
        <v>#REF!</v>
      </c>
      <c r="S78" s="175" t="e">
        <f>IF(OR('Inventaire M-1'!#REF!="Dispo/Liquidité Investie",'Inventaire M-1'!#REF!="Option/Future",'Inventaire M-1'!#REF!="TCN",'Inventaire M-1'!#REF!=""),"-",'Inventaire M-1'!#REF!)</f>
        <v>#REF!</v>
      </c>
      <c r="T78" s="175"/>
      <c r="U78" s="175" t="e">
        <f>IF(R78="-","",INDEX('Inventaire M-1'!$A$2:$AG$9334,MATCH(R78,'Inventaire M-1'!$A:$A,0)-1,MATCH("Cours EUR",'Inventaire M-1'!#REF!,0)))</f>
        <v>#REF!</v>
      </c>
      <c r="V78" s="175" t="e">
        <f>IF(R78="-","",IF(ISERROR(INDEX('Inventaire M'!$A$2:$AD$9319,MATCH(R78,'Inventaire M'!$A:$A,0)-1,MATCH("Cours EUR",'Inventaire M'!#REF!,0))),"Sell",INDEX('Inventaire M'!$A$2:$AD$9319,MATCH(R78,'Inventaire M'!$A:$A,0)-1,MATCH("Cours EUR",'Inventaire M'!#REF!,0))))</f>
        <v>#REF!</v>
      </c>
      <c r="W78" s="175"/>
      <c r="X78" s="156" t="e">
        <f>IF(R78="-","",INDEX('Inventaire M-1'!$A$2:$AG$9334,MATCH(R78,'Inventaire M-1'!$A:$A,0)-1,MATCH("quantite",'Inventaire M-1'!#REF!,0)))</f>
        <v>#REF!</v>
      </c>
      <c r="Y78" s="156" t="e">
        <f>IF(S78="-","",IF(ISERROR(INDEX('Inventaire M'!$A$2:$AD$9319,MATCH(R78,'Inventaire M'!$A:$A,0)-1,MATCH("quantite",'Inventaire M'!#REF!,0))),"Sell",INDEX('Inventaire M'!$A$2:$AD$9319,MATCH(R78,'Inventaire M'!$A:$A,0)-1,MATCH("quantite",'Inventaire M'!#REF!,0))))</f>
        <v>#REF!</v>
      </c>
      <c r="Z78" s="175"/>
      <c r="AA78" s="155" t="e">
        <f>IF(R78="-","",INDEX('Inventaire M-1'!$A$2:$AG$9334,MATCH(R78,'Inventaire M-1'!$A:$A,0)-1,MATCH("poids",'Inventaire M-1'!#REF!,0)))</f>
        <v>#REF!</v>
      </c>
      <c r="AB78" s="155" t="e">
        <f>IF(R78="-","",IF(ISERROR(INDEX('Inventaire M'!$A$2:$AD$9319,MATCH(R78,'Inventaire M'!$A:$A,0)-1,MATCH("poids",'Inventaire M'!#REF!,0))),"Sell",INDEX('Inventaire M'!$A$2:$AD$9319,MATCH(R78,'Inventaire M'!$A:$A,0)-1,MATCH("poids",'Inventaire M'!#REF!,0))))</f>
        <v>#REF!</v>
      </c>
      <c r="AC78" s="175"/>
      <c r="AD78" s="157" t="str">
        <f t="shared" si="3"/>
        <v>0</v>
      </c>
      <c r="AE78" s="98" t="str">
        <f t="shared" si="4"/>
        <v/>
      </c>
      <c r="AF78" s="80" t="e">
        <f t="shared" si="5"/>
        <v>#REF!</v>
      </c>
    </row>
    <row r="79" spans="2:32" outlineLevel="1">
      <c r="B79" s="175" t="e">
        <f>IF(OR('Inventaire M'!#REF!="Dispo/Liquidité Investie",'Inventaire M'!#REF!="Option/Future",'Inventaire M'!#REF!="TCN",'Inventaire M'!#REF!=""),"-",'Inventaire M'!#REF!)</f>
        <v>#REF!</v>
      </c>
      <c r="C79" s="175" t="e">
        <f>IF(OR('Inventaire M'!#REF!="Dispo/Liquidité Investie",'Inventaire M'!#REF!="Option/Future",'Inventaire M'!#REF!="TCN",'Inventaire M'!#REF!=""),"-",'Inventaire M'!#REF!)</f>
        <v>#REF!</v>
      </c>
      <c r="D79" s="175"/>
      <c r="E79" s="175" t="e">
        <f>IF(B79="-","",INDEX('Inventaire M'!$A$2:$AW$9305,MATCH(B79,'Inventaire M'!$A:$A,0)-1,MATCH("Cours EUR",'Inventaire M'!#REF!,0)))</f>
        <v>#REF!</v>
      </c>
      <c r="F79" s="175" t="e">
        <f>IF(B79="-","",IF(ISERROR(INDEX('Inventaire M-1'!$A$2:$AZ$9320,MATCH(B79,'Inventaire M-1'!$A:$A,0)-1,MATCH("Cours EUR",'Inventaire M-1'!#REF!,0))),"Buy",INDEX('Inventaire M-1'!$A$2:$AZ$9320,MATCH(B79,'Inventaire M-1'!$A:$A,0)-1,MATCH("Cours EUR",'Inventaire M-1'!#REF!,0))))</f>
        <v>#REF!</v>
      </c>
      <c r="G79" s="175"/>
      <c r="H79" s="156" t="e">
        <f>IF(B79="-","",INDEX('Inventaire M'!$A$2:$AW$9305,MATCH(B79,'Inventaire M'!$A:$A,0)-1,MATCH("quantite",'Inventaire M'!#REF!,0)))</f>
        <v>#REF!</v>
      </c>
      <c r="I79" s="156" t="e">
        <f>IF(C79="-","",IF(ISERROR(INDEX('Inventaire M-1'!$A$2:$AZ$9320,MATCH(B79,'Inventaire M-1'!$A:$A,0)-1,MATCH("quantite",'Inventaire M-1'!#REF!,0))),"Buy",INDEX('Inventaire M-1'!$A$2:$AZ$9320,MATCH(B79,'Inventaire M-1'!$A:$A,0)-1,MATCH("quantite",'Inventaire M-1'!#REF!,0))))</f>
        <v>#REF!</v>
      </c>
      <c r="J79" s="175"/>
      <c r="K79" s="155" t="e">
        <f>IF(B79="-","",INDEX('Inventaire M'!$A$2:$AW$9305,MATCH(B79,'Inventaire M'!$A:$A,0)-1,MATCH("poids",'Inventaire M'!#REF!,0)))</f>
        <v>#REF!</v>
      </c>
      <c r="L79" s="155" t="e">
        <f>IF(B79="-","",IF(ISERROR(INDEX('Inventaire M-1'!$A$2:$AZ$9320,MATCH(B79,'Inventaire M-1'!$A:$A,0)-1,MATCH("poids",'Inventaire M-1'!#REF!,0))),"Buy",INDEX('Inventaire M-1'!$A$2:$AZ$9320,MATCH(B79,'Inventaire M-1'!$A:$A,0)-1,MATCH("poids",'Inventaire M-1'!#REF!,0))))</f>
        <v>#REF!</v>
      </c>
      <c r="M79" s="175"/>
      <c r="N79" s="157" t="str">
        <f t="shared" si="0"/>
        <v>0</v>
      </c>
      <c r="O79" s="98" t="str">
        <f t="shared" si="1"/>
        <v/>
      </c>
      <c r="P79" s="80" t="e">
        <f t="shared" si="2"/>
        <v>#REF!</v>
      </c>
      <c r="Q79" s="75">
        <v>5.4999999999999996E-9</v>
      </c>
      <c r="R79" s="175" t="e">
        <f>IF(OR('Inventaire M-1'!#REF!="Dispo/Liquidité Investie",'Inventaire M-1'!#REF!="Option/Future",'Inventaire M-1'!#REF!="TCN",'Inventaire M-1'!#REF!=""),"-",'Inventaire M-1'!#REF!)</f>
        <v>#REF!</v>
      </c>
      <c r="S79" s="175" t="e">
        <f>IF(OR('Inventaire M-1'!#REF!="Dispo/Liquidité Investie",'Inventaire M-1'!#REF!="Option/Future",'Inventaire M-1'!#REF!="TCN",'Inventaire M-1'!#REF!=""),"-",'Inventaire M-1'!#REF!)</f>
        <v>#REF!</v>
      </c>
      <c r="T79" s="175"/>
      <c r="U79" s="175" t="e">
        <f>IF(R79="-","",INDEX('Inventaire M-1'!$A$2:$AG$9334,MATCH(R79,'Inventaire M-1'!$A:$A,0)-1,MATCH("Cours EUR",'Inventaire M-1'!#REF!,0)))</f>
        <v>#REF!</v>
      </c>
      <c r="V79" s="175" t="e">
        <f>IF(R79="-","",IF(ISERROR(INDEX('Inventaire M'!$A$2:$AD$9319,MATCH(R79,'Inventaire M'!$A:$A,0)-1,MATCH("Cours EUR",'Inventaire M'!#REF!,0))),"Sell",INDEX('Inventaire M'!$A$2:$AD$9319,MATCH(R79,'Inventaire M'!$A:$A,0)-1,MATCH("Cours EUR",'Inventaire M'!#REF!,0))))</f>
        <v>#REF!</v>
      </c>
      <c r="W79" s="175"/>
      <c r="X79" s="156" t="e">
        <f>IF(R79="-","",INDEX('Inventaire M-1'!$A$2:$AG$9334,MATCH(R79,'Inventaire M-1'!$A:$A,0)-1,MATCH("quantite",'Inventaire M-1'!#REF!,0)))</f>
        <v>#REF!</v>
      </c>
      <c r="Y79" s="156" t="e">
        <f>IF(S79="-","",IF(ISERROR(INDEX('Inventaire M'!$A$2:$AD$9319,MATCH(R79,'Inventaire M'!$A:$A,0)-1,MATCH("quantite",'Inventaire M'!#REF!,0))),"Sell",INDEX('Inventaire M'!$A$2:$AD$9319,MATCH(R79,'Inventaire M'!$A:$A,0)-1,MATCH("quantite",'Inventaire M'!#REF!,0))))</f>
        <v>#REF!</v>
      </c>
      <c r="Z79" s="175"/>
      <c r="AA79" s="155" t="e">
        <f>IF(R79="-","",INDEX('Inventaire M-1'!$A$2:$AG$9334,MATCH(R79,'Inventaire M-1'!$A:$A,0)-1,MATCH("poids",'Inventaire M-1'!#REF!,0)))</f>
        <v>#REF!</v>
      </c>
      <c r="AB79" s="155" t="e">
        <f>IF(R79="-","",IF(ISERROR(INDEX('Inventaire M'!$A$2:$AD$9319,MATCH(R79,'Inventaire M'!$A:$A,0)-1,MATCH("poids",'Inventaire M'!#REF!,0))),"Sell",INDEX('Inventaire M'!$A$2:$AD$9319,MATCH(R79,'Inventaire M'!$A:$A,0)-1,MATCH("poids",'Inventaire M'!#REF!,0))))</f>
        <v>#REF!</v>
      </c>
      <c r="AC79" s="175"/>
      <c r="AD79" s="157" t="str">
        <f t="shared" si="3"/>
        <v>0</v>
      </c>
      <c r="AE79" s="98" t="str">
        <f t="shared" si="4"/>
        <v/>
      </c>
      <c r="AF79" s="80" t="e">
        <f t="shared" si="5"/>
        <v>#REF!</v>
      </c>
    </row>
    <row r="80" spans="2:32" outlineLevel="1">
      <c r="B80" s="175" t="e">
        <f>IF(OR('Inventaire M'!#REF!="Dispo/Liquidité Investie",'Inventaire M'!#REF!="Option/Future",'Inventaire M'!#REF!="TCN",'Inventaire M'!#REF!=""),"-",'Inventaire M'!#REF!)</f>
        <v>#REF!</v>
      </c>
      <c r="C80" s="175" t="e">
        <f>IF(OR('Inventaire M'!#REF!="Dispo/Liquidité Investie",'Inventaire M'!#REF!="Option/Future",'Inventaire M'!#REF!="TCN",'Inventaire M'!#REF!=""),"-",'Inventaire M'!#REF!)</f>
        <v>#REF!</v>
      </c>
      <c r="D80" s="175"/>
      <c r="E80" s="175" t="e">
        <f>IF(B80="-","",INDEX('Inventaire M'!$A$2:$AW$9305,MATCH(B80,'Inventaire M'!$A:$A,0)-1,MATCH("Cours EUR",'Inventaire M'!#REF!,0)))</f>
        <v>#REF!</v>
      </c>
      <c r="F80" s="175" t="e">
        <f>IF(B80="-","",IF(ISERROR(INDEX('Inventaire M-1'!$A$2:$AZ$9320,MATCH(B80,'Inventaire M-1'!$A:$A,0)-1,MATCH("Cours EUR",'Inventaire M-1'!#REF!,0))),"Buy",INDEX('Inventaire M-1'!$A$2:$AZ$9320,MATCH(B80,'Inventaire M-1'!$A:$A,0)-1,MATCH("Cours EUR",'Inventaire M-1'!#REF!,0))))</f>
        <v>#REF!</v>
      </c>
      <c r="G80" s="175"/>
      <c r="H80" s="156" t="e">
        <f>IF(B80="-","",INDEX('Inventaire M'!$A$2:$AW$9305,MATCH(B80,'Inventaire M'!$A:$A,0)-1,MATCH("quantite",'Inventaire M'!#REF!,0)))</f>
        <v>#REF!</v>
      </c>
      <c r="I80" s="156" t="e">
        <f>IF(C80="-","",IF(ISERROR(INDEX('Inventaire M-1'!$A$2:$AZ$9320,MATCH(B80,'Inventaire M-1'!$A:$A,0)-1,MATCH("quantite",'Inventaire M-1'!#REF!,0))),"Buy",INDEX('Inventaire M-1'!$A$2:$AZ$9320,MATCH(B80,'Inventaire M-1'!$A:$A,0)-1,MATCH("quantite",'Inventaire M-1'!#REF!,0))))</f>
        <v>#REF!</v>
      </c>
      <c r="J80" s="175"/>
      <c r="K80" s="155" t="e">
        <f>IF(B80="-","",INDEX('Inventaire M'!$A$2:$AW$9305,MATCH(B80,'Inventaire M'!$A:$A,0)-1,MATCH("poids",'Inventaire M'!#REF!,0)))</f>
        <v>#REF!</v>
      </c>
      <c r="L80" s="155" t="e">
        <f>IF(B80="-","",IF(ISERROR(INDEX('Inventaire M-1'!$A$2:$AZ$9320,MATCH(B80,'Inventaire M-1'!$A:$A,0)-1,MATCH("poids",'Inventaire M-1'!#REF!,0))),"Buy",INDEX('Inventaire M-1'!$A$2:$AZ$9320,MATCH(B80,'Inventaire M-1'!$A:$A,0)-1,MATCH("poids",'Inventaire M-1'!#REF!,0))))</f>
        <v>#REF!</v>
      </c>
      <c r="M80" s="175"/>
      <c r="N80" s="157" t="str">
        <f t="shared" si="0"/>
        <v>0</v>
      </c>
      <c r="O80" s="98" t="str">
        <f t="shared" si="1"/>
        <v/>
      </c>
      <c r="P80" s="80" t="e">
        <f t="shared" si="2"/>
        <v>#REF!</v>
      </c>
      <c r="Q80" s="75">
        <v>5.5999999999999997E-9</v>
      </c>
      <c r="R80" s="175" t="e">
        <f>IF(OR('Inventaire M-1'!#REF!="Dispo/Liquidité Investie",'Inventaire M-1'!#REF!="Option/Future",'Inventaire M-1'!#REF!="TCN",'Inventaire M-1'!#REF!=""),"-",'Inventaire M-1'!#REF!)</f>
        <v>#REF!</v>
      </c>
      <c r="S80" s="175" t="e">
        <f>IF(OR('Inventaire M-1'!#REF!="Dispo/Liquidité Investie",'Inventaire M-1'!#REF!="Option/Future",'Inventaire M-1'!#REF!="TCN",'Inventaire M-1'!#REF!=""),"-",'Inventaire M-1'!#REF!)</f>
        <v>#REF!</v>
      </c>
      <c r="T80" s="175"/>
      <c r="U80" s="175" t="e">
        <f>IF(R80="-","",INDEX('Inventaire M-1'!$A$2:$AG$9334,MATCH(R80,'Inventaire M-1'!$A:$A,0)-1,MATCH("Cours EUR",'Inventaire M-1'!#REF!,0)))</f>
        <v>#REF!</v>
      </c>
      <c r="V80" s="175" t="e">
        <f>IF(R80="-","",IF(ISERROR(INDEX('Inventaire M'!$A$2:$AD$9319,MATCH(R80,'Inventaire M'!$A:$A,0)-1,MATCH("Cours EUR",'Inventaire M'!#REF!,0))),"Sell",INDEX('Inventaire M'!$A$2:$AD$9319,MATCH(R80,'Inventaire M'!$A:$A,0)-1,MATCH("Cours EUR",'Inventaire M'!#REF!,0))))</f>
        <v>#REF!</v>
      </c>
      <c r="W80" s="175"/>
      <c r="X80" s="156" t="e">
        <f>IF(R80="-","",INDEX('Inventaire M-1'!$A$2:$AG$9334,MATCH(R80,'Inventaire M-1'!$A:$A,0)-1,MATCH("quantite",'Inventaire M-1'!#REF!,0)))</f>
        <v>#REF!</v>
      </c>
      <c r="Y80" s="156" t="e">
        <f>IF(S80="-","",IF(ISERROR(INDEX('Inventaire M'!$A$2:$AD$9319,MATCH(R80,'Inventaire M'!$A:$A,0)-1,MATCH("quantite",'Inventaire M'!#REF!,0))),"Sell",INDEX('Inventaire M'!$A$2:$AD$9319,MATCH(R80,'Inventaire M'!$A:$A,0)-1,MATCH("quantite",'Inventaire M'!#REF!,0))))</f>
        <v>#REF!</v>
      </c>
      <c r="Z80" s="175"/>
      <c r="AA80" s="155" t="e">
        <f>IF(R80="-","",INDEX('Inventaire M-1'!$A$2:$AG$9334,MATCH(R80,'Inventaire M-1'!$A:$A,0)-1,MATCH("poids",'Inventaire M-1'!#REF!,0)))</f>
        <v>#REF!</v>
      </c>
      <c r="AB80" s="155" t="e">
        <f>IF(R80="-","",IF(ISERROR(INDEX('Inventaire M'!$A$2:$AD$9319,MATCH(R80,'Inventaire M'!$A:$A,0)-1,MATCH("poids",'Inventaire M'!#REF!,0))),"Sell",INDEX('Inventaire M'!$A$2:$AD$9319,MATCH(R80,'Inventaire M'!$A:$A,0)-1,MATCH("poids",'Inventaire M'!#REF!,0))))</f>
        <v>#REF!</v>
      </c>
      <c r="AC80" s="175"/>
      <c r="AD80" s="157" t="str">
        <f t="shared" si="3"/>
        <v>0</v>
      </c>
      <c r="AE80" s="98" t="str">
        <f t="shared" si="4"/>
        <v/>
      </c>
      <c r="AF80" s="80" t="e">
        <f t="shared" si="5"/>
        <v>#REF!</v>
      </c>
    </row>
    <row r="81" spans="2:32" outlineLevel="1">
      <c r="B81" s="175" t="e">
        <f>IF(OR('Inventaire M'!#REF!="Dispo/Liquidité Investie",'Inventaire M'!#REF!="Option/Future",'Inventaire M'!#REF!="TCN",'Inventaire M'!#REF!=""),"-",'Inventaire M'!#REF!)</f>
        <v>#REF!</v>
      </c>
      <c r="C81" s="175" t="e">
        <f>IF(OR('Inventaire M'!#REF!="Dispo/Liquidité Investie",'Inventaire M'!#REF!="Option/Future",'Inventaire M'!#REF!="TCN",'Inventaire M'!#REF!=""),"-",'Inventaire M'!#REF!)</f>
        <v>#REF!</v>
      </c>
      <c r="D81" s="175"/>
      <c r="E81" s="175" t="e">
        <f>IF(B81="-","",INDEX('Inventaire M'!$A$2:$AW$9305,MATCH(B81,'Inventaire M'!$A:$A,0)-1,MATCH("Cours EUR",'Inventaire M'!#REF!,0)))</f>
        <v>#REF!</v>
      </c>
      <c r="F81" s="175" t="e">
        <f>IF(B81="-","",IF(ISERROR(INDEX('Inventaire M-1'!$A$2:$AZ$9320,MATCH(B81,'Inventaire M-1'!$A:$A,0)-1,MATCH("Cours EUR",'Inventaire M-1'!#REF!,0))),"Buy",INDEX('Inventaire M-1'!$A$2:$AZ$9320,MATCH(B81,'Inventaire M-1'!$A:$A,0)-1,MATCH("Cours EUR",'Inventaire M-1'!#REF!,0))))</f>
        <v>#REF!</v>
      </c>
      <c r="G81" s="175"/>
      <c r="H81" s="156" t="e">
        <f>IF(B81="-","",INDEX('Inventaire M'!$A$2:$AW$9305,MATCH(B81,'Inventaire M'!$A:$A,0)-1,MATCH("quantite",'Inventaire M'!#REF!,0)))</f>
        <v>#REF!</v>
      </c>
      <c r="I81" s="156" t="e">
        <f>IF(C81="-","",IF(ISERROR(INDEX('Inventaire M-1'!$A$2:$AZ$9320,MATCH(B81,'Inventaire M-1'!$A:$A,0)-1,MATCH("quantite",'Inventaire M-1'!#REF!,0))),"Buy",INDEX('Inventaire M-1'!$A$2:$AZ$9320,MATCH(B81,'Inventaire M-1'!$A:$A,0)-1,MATCH("quantite",'Inventaire M-1'!#REF!,0))))</f>
        <v>#REF!</v>
      </c>
      <c r="J81" s="175"/>
      <c r="K81" s="155" t="e">
        <f>IF(B81="-","",INDEX('Inventaire M'!$A$2:$AW$9305,MATCH(B81,'Inventaire M'!$A:$A,0)-1,MATCH("poids",'Inventaire M'!#REF!,0)))</f>
        <v>#REF!</v>
      </c>
      <c r="L81" s="155" t="e">
        <f>IF(B81="-","",IF(ISERROR(INDEX('Inventaire M-1'!$A$2:$AZ$9320,MATCH(B81,'Inventaire M-1'!$A:$A,0)-1,MATCH("poids",'Inventaire M-1'!#REF!,0))),"Buy",INDEX('Inventaire M-1'!$A$2:$AZ$9320,MATCH(B81,'Inventaire M-1'!$A:$A,0)-1,MATCH("poids",'Inventaire M-1'!#REF!,0))))</f>
        <v>#REF!</v>
      </c>
      <c r="M81" s="175"/>
      <c r="N81" s="157" t="str">
        <f t="shared" si="0"/>
        <v>0</v>
      </c>
      <c r="O81" s="98" t="str">
        <f t="shared" si="1"/>
        <v/>
      </c>
      <c r="P81" s="80" t="e">
        <f t="shared" si="2"/>
        <v>#REF!</v>
      </c>
      <c r="Q81" s="75">
        <v>5.6999999999999998E-9</v>
      </c>
      <c r="R81" s="175" t="e">
        <f>IF(OR('Inventaire M-1'!#REF!="Dispo/Liquidité Investie",'Inventaire M-1'!#REF!="Option/Future",'Inventaire M-1'!#REF!="TCN",'Inventaire M-1'!#REF!=""),"-",'Inventaire M-1'!#REF!)</f>
        <v>#REF!</v>
      </c>
      <c r="S81" s="175" t="e">
        <f>IF(OR('Inventaire M-1'!#REF!="Dispo/Liquidité Investie",'Inventaire M-1'!#REF!="Option/Future",'Inventaire M-1'!#REF!="TCN",'Inventaire M-1'!#REF!=""),"-",'Inventaire M-1'!#REF!)</f>
        <v>#REF!</v>
      </c>
      <c r="T81" s="175"/>
      <c r="U81" s="175" t="e">
        <f>IF(R81="-","",INDEX('Inventaire M-1'!$A$2:$AG$9334,MATCH(R81,'Inventaire M-1'!$A:$A,0)-1,MATCH("Cours EUR",'Inventaire M-1'!#REF!,0)))</f>
        <v>#REF!</v>
      </c>
      <c r="V81" s="175" t="e">
        <f>IF(R81="-","",IF(ISERROR(INDEX('Inventaire M'!$A$2:$AD$9319,MATCH(R81,'Inventaire M'!$A:$A,0)-1,MATCH("Cours EUR",'Inventaire M'!#REF!,0))),"Sell",INDEX('Inventaire M'!$A$2:$AD$9319,MATCH(R81,'Inventaire M'!$A:$A,0)-1,MATCH("Cours EUR",'Inventaire M'!#REF!,0))))</f>
        <v>#REF!</v>
      </c>
      <c r="W81" s="175"/>
      <c r="X81" s="156" t="e">
        <f>IF(R81="-","",INDEX('Inventaire M-1'!$A$2:$AG$9334,MATCH(R81,'Inventaire M-1'!$A:$A,0)-1,MATCH("quantite",'Inventaire M-1'!#REF!,0)))</f>
        <v>#REF!</v>
      </c>
      <c r="Y81" s="156" t="e">
        <f>IF(S81="-","",IF(ISERROR(INDEX('Inventaire M'!$A$2:$AD$9319,MATCH(R81,'Inventaire M'!$A:$A,0)-1,MATCH("quantite",'Inventaire M'!#REF!,0))),"Sell",INDEX('Inventaire M'!$A$2:$AD$9319,MATCH(R81,'Inventaire M'!$A:$A,0)-1,MATCH("quantite",'Inventaire M'!#REF!,0))))</f>
        <v>#REF!</v>
      </c>
      <c r="Z81" s="175"/>
      <c r="AA81" s="155" t="e">
        <f>IF(R81="-","",INDEX('Inventaire M-1'!$A$2:$AG$9334,MATCH(R81,'Inventaire M-1'!$A:$A,0)-1,MATCH("poids",'Inventaire M-1'!#REF!,0)))</f>
        <v>#REF!</v>
      </c>
      <c r="AB81" s="155" t="e">
        <f>IF(R81="-","",IF(ISERROR(INDEX('Inventaire M'!$A$2:$AD$9319,MATCH(R81,'Inventaire M'!$A:$A,0)-1,MATCH("poids",'Inventaire M'!#REF!,0))),"Sell",INDEX('Inventaire M'!$A$2:$AD$9319,MATCH(R81,'Inventaire M'!$A:$A,0)-1,MATCH("poids",'Inventaire M'!#REF!,0))))</f>
        <v>#REF!</v>
      </c>
      <c r="AC81" s="175"/>
      <c r="AD81" s="157" t="str">
        <f t="shared" si="3"/>
        <v>0</v>
      </c>
      <c r="AE81" s="98" t="str">
        <f t="shared" si="4"/>
        <v/>
      </c>
      <c r="AF81" s="80" t="e">
        <f t="shared" si="5"/>
        <v>#REF!</v>
      </c>
    </row>
    <row r="82" spans="2:32" outlineLevel="1">
      <c r="B82" s="175" t="e">
        <f>IF(OR('Inventaire M'!#REF!="Dispo/Liquidité Investie",'Inventaire M'!#REF!="Option/Future",'Inventaire M'!#REF!="TCN",'Inventaire M'!#REF!=""),"-",'Inventaire M'!#REF!)</f>
        <v>#REF!</v>
      </c>
      <c r="C82" s="175" t="e">
        <f>IF(OR('Inventaire M'!#REF!="Dispo/Liquidité Investie",'Inventaire M'!#REF!="Option/Future",'Inventaire M'!#REF!="TCN",'Inventaire M'!#REF!=""),"-",'Inventaire M'!#REF!)</f>
        <v>#REF!</v>
      </c>
      <c r="D82" s="175"/>
      <c r="E82" s="175" t="e">
        <f>IF(B82="-","",INDEX('Inventaire M'!$A$2:$AW$9305,MATCH(B82,'Inventaire M'!$A:$A,0)-1,MATCH("Cours EUR",'Inventaire M'!#REF!,0)))</f>
        <v>#REF!</v>
      </c>
      <c r="F82" s="175" t="e">
        <f>IF(B82="-","",IF(ISERROR(INDEX('Inventaire M-1'!$A$2:$AZ$9320,MATCH(B82,'Inventaire M-1'!$A:$A,0)-1,MATCH("Cours EUR",'Inventaire M-1'!#REF!,0))),"Buy",INDEX('Inventaire M-1'!$A$2:$AZ$9320,MATCH(B82,'Inventaire M-1'!$A:$A,0)-1,MATCH("Cours EUR",'Inventaire M-1'!#REF!,0))))</f>
        <v>#REF!</v>
      </c>
      <c r="G82" s="175"/>
      <c r="H82" s="156" t="e">
        <f>IF(B82="-","",INDEX('Inventaire M'!$A$2:$AW$9305,MATCH(B82,'Inventaire M'!$A:$A,0)-1,MATCH("quantite",'Inventaire M'!#REF!,0)))</f>
        <v>#REF!</v>
      </c>
      <c r="I82" s="156" t="e">
        <f>IF(C82="-","",IF(ISERROR(INDEX('Inventaire M-1'!$A$2:$AZ$9320,MATCH(B82,'Inventaire M-1'!$A:$A,0)-1,MATCH("quantite",'Inventaire M-1'!#REF!,0))),"Buy",INDEX('Inventaire M-1'!$A$2:$AZ$9320,MATCH(B82,'Inventaire M-1'!$A:$A,0)-1,MATCH("quantite",'Inventaire M-1'!#REF!,0))))</f>
        <v>#REF!</v>
      </c>
      <c r="J82" s="175"/>
      <c r="K82" s="155" t="e">
        <f>IF(B82="-","",INDEX('Inventaire M'!$A$2:$AW$9305,MATCH(B82,'Inventaire M'!$A:$A,0)-1,MATCH("poids",'Inventaire M'!#REF!,0)))</f>
        <v>#REF!</v>
      </c>
      <c r="L82" s="155" t="e">
        <f>IF(B82="-","",IF(ISERROR(INDEX('Inventaire M-1'!$A$2:$AZ$9320,MATCH(B82,'Inventaire M-1'!$A:$A,0)-1,MATCH("poids",'Inventaire M-1'!#REF!,0))),"Buy",INDEX('Inventaire M-1'!$A$2:$AZ$9320,MATCH(B82,'Inventaire M-1'!$A:$A,0)-1,MATCH("poids",'Inventaire M-1'!#REF!,0))))</f>
        <v>#REF!</v>
      </c>
      <c r="M82" s="175"/>
      <c r="N82" s="157" t="str">
        <f t="shared" si="0"/>
        <v>0</v>
      </c>
      <c r="O82" s="98" t="str">
        <f t="shared" si="1"/>
        <v/>
      </c>
      <c r="P82" s="80" t="e">
        <f t="shared" si="2"/>
        <v>#REF!</v>
      </c>
      <c r="Q82" s="75">
        <v>5.7999999999999998E-9</v>
      </c>
      <c r="R82" s="175" t="e">
        <f>IF(OR('Inventaire M-1'!#REF!="Dispo/Liquidité Investie",'Inventaire M-1'!#REF!="Option/Future",'Inventaire M-1'!#REF!="TCN",'Inventaire M-1'!#REF!=""),"-",'Inventaire M-1'!#REF!)</f>
        <v>#REF!</v>
      </c>
      <c r="S82" s="175" t="e">
        <f>IF(OR('Inventaire M-1'!#REF!="Dispo/Liquidité Investie",'Inventaire M-1'!#REF!="Option/Future",'Inventaire M-1'!#REF!="TCN",'Inventaire M-1'!#REF!=""),"-",'Inventaire M-1'!#REF!)</f>
        <v>#REF!</v>
      </c>
      <c r="T82" s="175"/>
      <c r="U82" s="175" t="e">
        <f>IF(R82="-","",INDEX('Inventaire M-1'!$A$2:$AG$9334,MATCH(R82,'Inventaire M-1'!$A:$A,0)-1,MATCH("Cours EUR",'Inventaire M-1'!#REF!,0)))</f>
        <v>#REF!</v>
      </c>
      <c r="V82" s="175" t="e">
        <f>IF(R82="-","",IF(ISERROR(INDEX('Inventaire M'!$A$2:$AD$9319,MATCH(R82,'Inventaire M'!$A:$A,0)-1,MATCH("Cours EUR",'Inventaire M'!#REF!,0))),"Sell",INDEX('Inventaire M'!$A$2:$AD$9319,MATCH(R82,'Inventaire M'!$A:$A,0)-1,MATCH("Cours EUR",'Inventaire M'!#REF!,0))))</f>
        <v>#REF!</v>
      </c>
      <c r="W82" s="175"/>
      <c r="X82" s="156" t="e">
        <f>IF(R82="-","",INDEX('Inventaire M-1'!$A$2:$AG$9334,MATCH(R82,'Inventaire M-1'!$A:$A,0)-1,MATCH("quantite",'Inventaire M-1'!#REF!,0)))</f>
        <v>#REF!</v>
      </c>
      <c r="Y82" s="156" t="e">
        <f>IF(S82="-","",IF(ISERROR(INDEX('Inventaire M'!$A$2:$AD$9319,MATCH(R82,'Inventaire M'!$A:$A,0)-1,MATCH("quantite",'Inventaire M'!#REF!,0))),"Sell",INDEX('Inventaire M'!$A$2:$AD$9319,MATCH(R82,'Inventaire M'!$A:$A,0)-1,MATCH("quantite",'Inventaire M'!#REF!,0))))</f>
        <v>#REF!</v>
      </c>
      <c r="Z82" s="175"/>
      <c r="AA82" s="155" t="e">
        <f>IF(R82="-","",INDEX('Inventaire M-1'!$A$2:$AG$9334,MATCH(R82,'Inventaire M-1'!$A:$A,0)-1,MATCH("poids",'Inventaire M-1'!#REF!,0)))</f>
        <v>#REF!</v>
      </c>
      <c r="AB82" s="155" t="e">
        <f>IF(R82="-","",IF(ISERROR(INDEX('Inventaire M'!$A$2:$AD$9319,MATCH(R82,'Inventaire M'!$A:$A,0)-1,MATCH("poids",'Inventaire M'!#REF!,0))),"Sell",INDEX('Inventaire M'!$A$2:$AD$9319,MATCH(R82,'Inventaire M'!$A:$A,0)-1,MATCH("poids",'Inventaire M'!#REF!,0))))</f>
        <v>#REF!</v>
      </c>
      <c r="AC82" s="175"/>
      <c r="AD82" s="157" t="str">
        <f t="shared" si="3"/>
        <v>0</v>
      </c>
      <c r="AE82" s="98" t="str">
        <f t="shared" si="4"/>
        <v/>
      </c>
      <c r="AF82" s="80" t="e">
        <f t="shared" si="5"/>
        <v>#REF!</v>
      </c>
    </row>
    <row r="83" spans="2:32" outlineLevel="1">
      <c r="B83" s="175" t="e">
        <f>IF(OR('Inventaire M'!#REF!="Dispo/Liquidité Investie",'Inventaire M'!#REF!="Option/Future",'Inventaire M'!#REF!="TCN",'Inventaire M'!#REF!=""),"-",'Inventaire M'!#REF!)</f>
        <v>#REF!</v>
      </c>
      <c r="C83" s="175" t="e">
        <f>IF(OR('Inventaire M'!#REF!="Dispo/Liquidité Investie",'Inventaire M'!#REF!="Option/Future",'Inventaire M'!#REF!="TCN",'Inventaire M'!#REF!=""),"-",'Inventaire M'!#REF!)</f>
        <v>#REF!</v>
      </c>
      <c r="D83" s="175"/>
      <c r="E83" s="175" t="e">
        <f>IF(B83="-","",INDEX('Inventaire M'!$A$2:$AW$9305,MATCH(B83,'Inventaire M'!$A:$A,0)-1,MATCH("Cours EUR",'Inventaire M'!#REF!,0)))</f>
        <v>#REF!</v>
      </c>
      <c r="F83" s="175" t="e">
        <f>IF(B83="-","",IF(ISERROR(INDEX('Inventaire M-1'!$A$2:$AZ$9320,MATCH(B83,'Inventaire M-1'!$A:$A,0)-1,MATCH("Cours EUR",'Inventaire M-1'!#REF!,0))),"Buy",INDEX('Inventaire M-1'!$A$2:$AZ$9320,MATCH(B83,'Inventaire M-1'!$A:$A,0)-1,MATCH("Cours EUR",'Inventaire M-1'!#REF!,0))))</f>
        <v>#REF!</v>
      </c>
      <c r="G83" s="175"/>
      <c r="H83" s="156" t="e">
        <f>IF(B83="-","",INDEX('Inventaire M'!$A$2:$AW$9305,MATCH(B83,'Inventaire M'!$A:$A,0)-1,MATCH("quantite",'Inventaire M'!#REF!,0)))</f>
        <v>#REF!</v>
      </c>
      <c r="I83" s="156" t="e">
        <f>IF(C83="-","",IF(ISERROR(INDEX('Inventaire M-1'!$A$2:$AZ$9320,MATCH(B83,'Inventaire M-1'!$A:$A,0)-1,MATCH("quantite",'Inventaire M-1'!#REF!,0))),"Buy",INDEX('Inventaire M-1'!$A$2:$AZ$9320,MATCH(B83,'Inventaire M-1'!$A:$A,0)-1,MATCH("quantite",'Inventaire M-1'!#REF!,0))))</f>
        <v>#REF!</v>
      </c>
      <c r="J83" s="175"/>
      <c r="K83" s="155" t="e">
        <f>IF(B83="-","",INDEX('Inventaire M'!$A$2:$AW$9305,MATCH(B83,'Inventaire M'!$A:$A,0)-1,MATCH("poids",'Inventaire M'!#REF!,0)))</f>
        <v>#REF!</v>
      </c>
      <c r="L83" s="155" t="e">
        <f>IF(B83="-","",IF(ISERROR(INDEX('Inventaire M-1'!$A$2:$AZ$9320,MATCH(B83,'Inventaire M-1'!$A:$A,0)-1,MATCH("poids",'Inventaire M-1'!#REF!,0))),"Buy",INDEX('Inventaire M-1'!$A$2:$AZ$9320,MATCH(B83,'Inventaire M-1'!$A:$A,0)-1,MATCH("poids",'Inventaire M-1'!#REF!,0))))</f>
        <v>#REF!</v>
      </c>
      <c r="M83" s="175"/>
      <c r="N83" s="157" t="str">
        <f t="shared" si="0"/>
        <v>0</v>
      </c>
      <c r="O83" s="98" t="str">
        <f t="shared" si="1"/>
        <v/>
      </c>
      <c r="P83" s="80" t="e">
        <f t="shared" si="2"/>
        <v>#REF!</v>
      </c>
      <c r="Q83" s="75">
        <v>5.8999999999999999E-9</v>
      </c>
      <c r="R83" s="175" t="e">
        <f>IF(OR('Inventaire M-1'!#REF!="Dispo/Liquidité Investie",'Inventaire M-1'!#REF!="Option/Future",'Inventaire M-1'!#REF!="TCN",'Inventaire M-1'!#REF!=""),"-",'Inventaire M-1'!#REF!)</f>
        <v>#REF!</v>
      </c>
      <c r="S83" s="175" t="e">
        <f>IF(OR('Inventaire M-1'!#REF!="Dispo/Liquidité Investie",'Inventaire M-1'!#REF!="Option/Future",'Inventaire M-1'!#REF!="TCN",'Inventaire M-1'!#REF!=""),"-",'Inventaire M-1'!#REF!)</f>
        <v>#REF!</v>
      </c>
      <c r="T83" s="175"/>
      <c r="U83" s="175" t="e">
        <f>IF(R83="-","",INDEX('Inventaire M-1'!$A$2:$AG$9334,MATCH(R83,'Inventaire M-1'!$A:$A,0)-1,MATCH("Cours EUR",'Inventaire M-1'!#REF!,0)))</f>
        <v>#REF!</v>
      </c>
      <c r="V83" s="175" t="e">
        <f>IF(R83="-","",IF(ISERROR(INDEX('Inventaire M'!$A$2:$AD$9319,MATCH(R83,'Inventaire M'!$A:$A,0)-1,MATCH("Cours EUR",'Inventaire M'!#REF!,0))),"Sell",INDEX('Inventaire M'!$A$2:$AD$9319,MATCH(R83,'Inventaire M'!$A:$A,0)-1,MATCH("Cours EUR",'Inventaire M'!#REF!,0))))</f>
        <v>#REF!</v>
      </c>
      <c r="W83" s="175"/>
      <c r="X83" s="156" t="e">
        <f>IF(R83="-","",INDEX('Inventaire M-1'!$A$2:$AG$9334,MATCH(R83,'Inventaire M-1'!$A:$A,0)-1,MATCH("quantite",'Inventaire M-1'!#REF!,0)))</f>
        <v>#REF!</v>
      </c>
      <c r="Y83" s="156" t="e">
        <f>IF(S83="-","",IF(ISERROR(INDEX('Inventaire M'!$A$2:$AD$9319,MATCH(R83,'Inventaire M'!$A:$A,0)-1,MATCH("quantite",'Inventaire M'!#REF!,0))),"Sell",INDEX('Inventaire M'!$A$2:$AD$9319,MATCH(R83,'Inventaire M'!$A:$A,0)-1,MATCH("quantite",'Inventaire M'!#REF!,0))))</f>
        <v>#REF!</v>
      </c>
      <c r="Z83" s="175"/>
      <c r="AA83" s="155" t="e">
        <f>IF(R83="-","",INDEX('Inventaire M-1'!$A$2:$AG$9334,MATCH(R83,'Inventaire M-1'!$A:$A,0)-1,MATCH("poids",'Inventaire M-1'!#REF!,0)))</f>
        <v>#REF!</v>
      </c>
      <c r="AB83" s="155" t="e">
        <f>IF(R83="-","",IF(ISERROR(INDEX('Inventaire M'!$A$2:$AD$9319,MATCH(R83,'Inventaire M'!$A:$A,0)-1,MATCH("poids",'Inventaire M'!#REF!,0))),"Sell",INDEX('Inventaire M'!$A$2:$AD$9319,MATCH(R83,'Inventaire M'!$A:$A,0)-1,MATCH("poids",'Inventaire M'!#REF!,0))))</f>
        <v>#REF!</v>
      </c>
      <c r="AC83" s="175"/>
      <c r="AD83" s="157" t="str">
        <f t="shared" si="3"/>
        <v>0</v>
      </c>
      <c r="AE83" s="98" t="str">
        <f t="shared" si="4"/>
        <v/>
      </c>
      <c r="AF83" s="80" t="e">
        <f t="shared" si="5"/>
        <v>#REF!</v>
      </c>
    </row>
    <row r="84" spans="2:32" outlineLevel="1">
      <c r="B84" s="175" t="e">
        <f>IF(OR('Inventaire M'!#REF!="Dispo/Liquidité Investie",'Inventaire M'!#REF!="Option/Future",'Inventaire M'!#REF!="TCN",'Inventaire M'!#REF!=""),"-",'Inventaire M'!#REF!)</f>
        <v>#REF!</v>
      </c>
      <c r="C84" s="175" t="e">
        <f>IF(OR('Inventaire M'!#REF!="Dispo/Liquidité Investie",'Inventaire M'!#REF!="Option/Future",'Inventaire M'!#REF!="TCN",'Inventaire M'!#REF!=""),"-",'Inventaire M'!#REF!)</f>
        <v>#REF!</v>
      </c>
      <c r="D84" s="175"/>
      <c r="E84" s="175" t="e">
        <f>IF(B84="-","",INDEX('Inventaire M'!$A$2:$AW$9305,MATCH(B84,'Inventaire M'!$A:$A,0)-1,MATCH("Cours EUR",'Inventaire M'!#REF!,0)))</f>
        <v>#REF!</v>
      </c>
      <c r="F84" s="175" t="e">
        <f>IF(B84="-","",IF(ISERROR(INDEX('Inventaire M-1'!$A$2:$AZ$9320,MATCH(B84,'Inventaire M-1'!$A:$A,0)-1,MATCH("Cours EUR",'Inventaire M-1'!#REF!,0))),"Buy",INDEX('Inventaire M-1'!$A$2:$AZ$9320,MATCH(B84,'Inventaire M-1'!$A:$A,0)-1,MATCH("Cours EUR",'Inventaire M-1'!#REF!,0))))</f>
        <v>#REF!</v>
      </c>
      <c r="G84" s="175"/>
      <c r="H84" s="156" t="e">
        <f>IF(B84="-","",INDEX('Inventaire M'!$A$2:$AW$9305,MATCH(B84,'Inventaire M'!$A:$A,0)-1,MATCH("quantite",'Inventaire M'!#REF!,0)))</f>
        <v>#REF!</v>
      </c>
      <c r="I84" s="156" t="e">
        <f>IF(C84="-","",IF(ISERROR(INDEX('Inventaire M-1'!$A$2:$AZ$9320,MATCH(B84,'Inventaire M-1'!$A:$A,0)-1,MATCH("quantite",'Inventaire M-1'!#REF!,0))),"Buy",INDEX('Inventaire M-1'!$A$2:$AZ$9320,MATCH(B84,'Inventaire M-1'!$A:$A,0)-1,MATCH("quantite",'Inventaire M-1'!#REF!,0))))</f>
        <v>#REF!</v>
      </c>
      <c r="J84" s="175"/>
      <c r="K84" s="155" t="e">
        <f>IF(B84="-","",INDEX('Inventaire M'!$A$2:$AW$9305,MATCH(B84,'Inventaire M'!$A:$A,0)-1,MATCH("poids",'Inventaire M'!#REF!,0)))</f>
        <v>#REF!</v>
      </c>
      <c r="L84" s="155" t="e">
        <f>IF(B84="-","",IF(ISERROR(INDEX('Inventaire M-1'!$A$2:$AZ$9320,MATCH(B84,'Inventaire M-1'!$A:$A,0)-1,MATCH("poids",'Inventaire M-1'!#REF!,0))),"Buy",INDEX('Inventaire M-1'!$A$2:$AZ$9320,MATCH(B84,'Inventaire M-1'!$A:$A,0)-1,MATCH("poids",'Inventaire M-1'!#REF!,0))))</f>
        <v>#REF!</v>
      </c>
      <c r="M84" s="175"/>
      <c r="N84" s="157" t="str">
        <f t="shared" si="0"/>
        <v>0</v>
      </c>
      <c r="O84" s="98" t="str">
        <f t="shared" si="1"/>
        <v/>
      </c>
      <c r="P84" s="80" t="e">
        <f t="shared" si="2"/>
        <v>#REF!</v>
      </c>
      <c r="Q84" s="75">
        <v>6E-9</v>
      </c>
      <c r="R84" s="175" t="e">
        <f>IF(OR('Inventaire M-1'!#REF!="Dispo/Liquidité Investie",'Inventaire M-1'!#REF!="Option/Future",'Inventaire M-1'!#REF!="TCN",'Inventaire M-1'!#REF!=""),"-",'Inventaire M-1'!#REF!)</f>
        <v>#REF!</v>
      </c>
      <c r="S84" s="175" t="e">
        <f>IF(OR('Inventaire M-1'!#REF!="Dispo/Liquidité Investie",'Inventaire M-1'!#REF!="Option/Future",'Inventaire M-1'!#REF!="TCN",'Inventaire M-1'!#REF!=""),"-",'Inventaire M-1'!#REF!)</f>
        <v>#REF!</v>
      </c>
      <c r="T84" s="175"/>
      <c r="U84" s="175" t="e">
        <f>IF(R84="-","",INDEX('Inventaire M-1'!$A$2:$AG$9334,MATCH(R84,'Inventaire M-1'!$A:$A,0)-1,MATCH("Cours EUR",'Inventaire M-1'!#REF!,0)))</f>
        <v>#REF!</v>
      </c>
      <c r="V84" s="175" t="e">
        <f>IF(R84="-","",IF(ISERROR(INDEX('Inventaire M'!$A$2:$AD$9319,MATCH(R84,'Inventaire M'!$A:$A,0)-1,MATCH("Cours EUR",'Inventaire M'!#REF!,0))),"Sell",INDEX('Inventaire M'!$A$2:$AD$9319,MATCH(R84,'Inventaire M'!$A:$A,0)-1,MATCH("Cours EUR",'Inventaire M'!#REF!,0))))</f>
        <v>#REF!</v>
      </c>
      <c r="W84" s="175"/>
      <c r="X84" s="156" t="e">
        <f>IF(R84="-","",INDEX('Inventaire M-1'!$A$2:$AG$9334,MATCH(R84,'Inventaire M-1'!$A:$A,0)-1,MATCH("quantite",'Inventaire M-1'!#REF!,0)))</f>
        <v>#REF!</v>
      </c>
      <c r="Y84" s="156" t="e">
        <f>IF(S84="-","",IF(ISERROR(INDEX('Inventaire M'!$A$2:$AD$9319,MATCH(R84,'Inventaire M'!$A:$A,0)-1,MATCH("quantite",'Inventaire M'!#REF!,0))),"Sell",INDEX('Inventaire M'!$A$2:$AD$9319,MATCH(R84,'Inventaire M'!$A:$A,0)-1,MATCH("quantite",'Inventaire M'!#REF!,0))))</f>
        <v>#REF!</v>
      </c>
      <c r="Z84" s="175"/>
      <c r="AA84" s="155" t="e">
        <f>IF(R84="-","",INDEX('Inventaire M-1'!$A$2:$AG$9334,MATCH(R84,'Inventaire M-1'!$A:$A,0)-1,MATCH("poids",'Inventaire M-1'!#REF!,0)))</f>
        <v>#REF!</v>
      </c>
      <c r="AB84" s="155" t="e">
        <f>IF(R84="-","",IF(ISERROR(INDEX('Inventaire M'!$A$2:$AD$9319,MATCH(R84,'Inventaire M'!$A:$A,0)-1,MATCH("poids",'Inventaire M'!#REF!,0))),"Sell",INDEX('Inventaire M'!$A$2:$AD$9319,MATCH(R84,'Inventaire M'!$A:$A,0)-1,MATCH("poids",'Inventaire M'!#REF!,0))))</f>
        <v>#REF!</v>
      </c>
      <c r="AC84" s="175"/>
      <c r="AD84" s="157" t="str">
        <f t="shared" si="3"/>
        <v>0</v>
      </c>
      <c r="AE84" s="98" t="str">
        <f t="shared" si="4"/>
        <v/>
      </c>
      <c r="AF84" s="80" t="e">
        <f t="shared" si="5"/>
        <v>#REF!</v>
      </c>
    </row>
    <row r="85" spans="2:32" outlineLevel="1">
      <c r="B85" s="175" t="e">
        <f>IF(OR('Inventaire M'!#REF!="Dispo/Liquidité Investie",'Inventaire M'!#REF!="Option/Future",'Inventaire M'!#REF!="TCN",'Inventaire M'!#REF!=""),"-",'Inventaire M'!#REF!)</f>
        <v>#REF!</v>
      </c>
      <c r="C85" s="175" t="e">
        <f>IF(OR('Inventaire M'!#REF!="Dispo/Liquidité Investie",'Inventaire M'!#REF!="Option/Future",'Inventaire M'!#REF!="TCN",'Inventaire M'!#REF!=""),"-",'Inventaire M'!#REF!)</f>
        <v>#REF!</v>
      </c>
      <c r="D85" s="175"/>
      <c r="E85" s="175" t="e">
        <f>IF(B85="-","",INDEX('Inventaire M'!$A$2:$AW$9305,MATCH(B85,'Inventaire M'!$A:$A,0)-1,MATCH("Cours EUR",'Inventaire M'!#REF!,0)))</f>
        <v>#REF!</v>
      </c>
      <c r="F85" s="175" t="e">
        <f>IF(B85="-","",IF(ISERROR(INDEX('Inventaire M-1'!$A$2:$AZ$9320,MATCH(B85,'Inventaire M-1'!$A:$A,0)-1,MATCH("Cours EUR",'Inventaire M-1'!#REF!,0))),"Buy",INDEX('Inventaire M-1'!$A$2:$AZ$9320,MATCH(B85,'Inventaire M-1'!$A:$A,0)-1,MATCH("Cours EUR",'Inventaire M-1'!#REF!,0))))</f>
        <v>#REF!</v>
      </c>
      <c r="G85" s="175"/>
      <c r="H85" s="156" t="e">
        <f>IF(B85="-","",INDEX('Inventaire M'!$A$2:$AW$9305,MATCH(B85,'Inventaire M'!$A:$A,0)-1,MATCH("quantite",'Inventaire M'!#REF!,0)))</f>
        <v>#REF!</v>
      </c>
      <c r="I85" s="156" t="e">
        <f>IF(C85="-","",IF(ISERROR(INDEX('Inventaire M-1'!$A$2:$AZ$9320,MATCH(B85,'Inventaire M-1'!$A:$A,0)-1,MATCH("quantite",'Inventaire M-1'!#REF!,0))),"Buy",INDEX('Inventaire M-1'!$A$2:$AZ$9320,MATCH(B85,'Inventaire M-1'!$A:$A,0)-1,MATCH("quantite",'Inventaire M-1'!#REF!,0))))</f>
        <v>#REF!</v>
      </c>
      <c r="J85" s="175"/>
      <c r="K85" s="155" t="e">
        <f>IF(B85="-","",INDEX('Inventaire M'!$A$2:$AW$9305,MATCH(B85,'Inventaire M'!$A:$A,0)-1,MATCH("poids",'Inventaire M'!#REF!,0)))</f>
        <v>#REF!</v>
      </c>
      <c r="L85" s="155" t="e">
        <f>IF(B85="-","",IF(ISERROR(INDEX('Inventaire M-1'!$A$2:$AZ$9320,MATCH(B85,'Inventaire M-1'!$A:$A,0)-1,MATCH("poids",'Inventaire M-1'!#REF!,0))),"Buy",INDEX('Inventaire M-1'!$A$2:$AZ$9320,MATCH(B85,'Inventaire M-1'!$A:$A,0)-1,MATCH("poids",'Inventaire M-1'!#REF!,0))))</f>
        <v>#REF!</v>
      </c>
      <c r="M85" s="175"/>
      <c r="N85" s="157" t="str">
        <f t="shared" si="0"/>
        <v>0</v>
      </c>
      <c r="O85" s="98" t="str">
        <f t="shared" si="1"/>
        <v/>
      </c>
      <c r="P85" s="80" t="e">
        <f t="shared" si="2"/>
        <v>#REF!</v>
      </c>
      <c r="Q85" s="75">
        <v>6.1E-9</v>
      </c>
      <c r="R85" s="175" t="e">
        <f>IF(OR('Inventaire M-1'!#REF!="Dispo/Liquidité Investie",'Inventaire M-1'!#REF!="Option/Future",'Inventaire M-1'!#REF!="TCN",'Inventaire M-1'!#REF!=""),"-",'Inventaire M-1'!#REF!)</f>
        <v>#REF!</v>
      </c>
      <c r="S85" s="175" t="e">
        <f>IF(OR('Inventaire M-1'!#REF!="Dispo/Liquidité Investie",'Inventaire M-1'!#REF!="Option/Future",'Inventaire M-1'!#REF!="TCN",'Inventaire M-1'!#REF!=""),"-",'Inventaire M-1'!#REF!)</f>
        <v>#REF!</v>
      </c>
      <c r="T85" s="175"/>
      <c r="U85" s="175" t="e">
        <f>IF(R85="-","",INDEX('Inventaire M-1'!$A$2:$AG$9334,MATCH(R85,'Inventaire M-1'!$A:$A,0)-1,MATCH("Cours EUR",'Inventaire M-1'!#REF!,0)))</f>
        <v>#REF!</v>
      </c>
      <c r="V85" s="175" t="e">
        <f>IF(R85="-","",IF(ISERROR(INDEX('Inventaire M'!$A$2:$AD$9319,MATCH(R85,'Inventaire M'!$A:$A,0)-1,MATCH("Cours EUR",'Inventaire M'!#REF!,0))),"Sell",INDEX('Inventaire M'!$A$2:$AD$9319,MATCH(R85,'Inventaire M'!$A:$A,0)-1,MATCH("Cours EUR",'Inventaire M'!#REF!,0))))</f>
        <v>#REF!</v>
      </c>
      <c r="W85" s="175"/>
      <c r="X85" s="156" t="e">
        <f>IF(R85="-","",INDEX('Inventaire M-1'!$A$2:$AG$9334,MATCH(R85,'Inventaire M-1'!$A:$A,0)-1,MATCH("quantite",'Inventaire M-1'!#REF!,0)))</f>
        <v>#REF!</v>
      </c>
      <c r="Y85" s="156" t="e">
        <f>IF(S85="-","",IF(ISERROR(INDEX('Inventaire M'!$A$2:$AD$9319,MATCH(R85,'Inventaire M'!$A:$A,0)-1,MATCH("quantite",'Inventaire M'!#REF!,0))),"Sell",INDEX('Inventaire M'!$A$2:$AD$9319,MATCH(R85,'Inventaire M'!$A:$A,0)-1,MATCH("quantite",'Inventaire M'!#REF!,0))))</f>
        <v>#REF!</v>
      </c>
      <c r="Z85" s="175"/>
      <c r="AA85" s="155" t="e">
        <f>IF(R85="-","",INDEX('Inventaire M-1'!$A$2:$AG$9334,MATCH(R85,'Inventaire M-1'!$A:$A,0)-1,MATCH("poids",'Inventaire M-1'!#REF!,0)))</f>
        <v>#REF!</v>
      </c>
      <c r="AB85" s="155" t="e">
        <f>IF(R85="-","",IF(ISERROR(INDEX('Inventaire M'!$A$2:$AD$9319,MATCH(R85,'Inventaire M'!$A:$A,0)-1,MATCH("poids",'Inventaire M'!#REF!,0))),"Sell",INDEX('Inventaire M'!$A$2:$AD$9319,MATCH(R85,'Inventaire M'!$A:$A,0)-1,MATCH("poids",'Inventaire M'!#REF!,0))))</f>
        <v>#REF!</v>
      </c>
      <c r="AC85" s="175"/>
      <c r="AD85" s="157" t="str">
        <f t="shared" si="3"/>
        <v>0</v>
      </c>
      <c r="AE85" s="98" t="str">
        <f t="shared" si="4"/>
        <v/>
      </c>
      <c r="AF85" s="80" t="e">
        <f t="shared" si="5"/>
        <v>#REF!</v>
      </c>
    </row>
    <row r="86" spans="2:32" outlineLevel="1">
      <c r="B86" s="175" t="e">
        <f>IF(OR('Inventaire M'!#REF!="Dispo/Liquidité Investie",'Inventaire M'!#REF!="Option/Future",'Inventaire M'!#REF!="TCN",'Inventaire M'!#REF!=""),"-",'Inventaire M'!#REF!)</f>
        <v>#REF!</v>
      </c>
      <c r="C86" s="175" t="e">
        <f>IF(OR('Inventaire M'!#REF!="Dispo/Liquidité Investie",'Inventaire M'!#REF!="Option/Future",'Inventaire M'!#REF!="TCN",'Inventaire M'!#REF!=""),"-",'Inventaire M'!#REF!)</f>
        <v>#REF!</v>
      </c>
      <c r="D86" s="175"/>
      <c r="E86" s="175" t="e">
        <f>IF(B86="-","",INDEX('Inventaire M'!$A$2:$AW$9305,MATCH(B86,'Inventaire M'!$A:$A,0)-1,MATCH("Cours EUR",'Inventaire M'!#REF!,0)))</f>
        <v>#REF!</v>
      </c>
      <c r="F86" s="175" t="e">
        <f>IF(B86="-","",IF(ISERROR(INDEX('Inventaire M-1'!$A$2:$AZ$9320,MATCH(B86,'Inventaire M-1'!$A:$A,0)-1,MATCH("Cours EUR",'Inventaire M-1'!#REF!,0))),"Buy",INDEX('Inventaire M-1'!$A$2:$AZ$9320,MATCH(B86,'Inventaire M-1'!$A:$A,0)-1,MATCH("Cours EUR",'Inventaire M-1'!#REF!,0))))</f>
        <v>#REF!</v>
      </c>
      <c r="G86" s="175"/>
      <c r="H86" s="156" t="e">
        <f>IF(B86="-","",INDEX('Inventaire M'!$A$2:$AW$9305,MATCH(B86,'Inventaire M'!$A:$A,0)-1,MATCH("quantite",'Inventaire M'!#REF!,0)))</f>
        <v>#REF!</v>
      </c>
      <c r="I86" s="156" t="e">
        <f>IF(C86="-","",IF(ISERROR(INDEX('Inventaire M-1'!$A$2:$AZ$9320,MATCH(B86,'Inventaire M-1'!$A:$A,0)-1,MATCH("quantite",'Inventaire M-1'!#REF!,0))),"Buy",INDEX('Inventaire M-1'!$A$2:$AZ$9320,MATCH(B86,'Inventaire M-1'!$A:$A,0)-1,MATCH("quantite",'Inventaire M-1'!#REF!,0))))</f>
        <v>#REF!</v>
      </c>
      <c r="J86" s="175"/>
      <c r="K86" s="155" t="e">
        <f>IF(B86="-","",INDEX('Inventaire M'!$A$2:$AW$9305,MATCH(B86,'Inventaire M'!$A:$A,0)-1,MATCH("poids",'Inventaire M'!#REF!,0)))</f>
        <v>#REF!</v>
      </c>
      <c r="L86" s="155" t="e">
        <f>IF(B86="-","",IF(ISERROR(INDEX('Inventaire M-1'!$A$2:$AZ$9320,MATCH(B86,'Inventaire M-1'!$A:$A,0)-1,MATCH("poids",'Inventaire M-1'!#REF!,0))),"Buy",INDEX('Inventaire M-1'!$A$2:$AZ$9320,MATCH(B86,'Inventaire M-1'!$A:$A,0)-1,MATCH("poids",'Inventaire M-1'!#REF!,0))))</f>
        <v>#REF!</v>
      </c>
      <c r="M86" s="175"/>
      <c r="N86" s="157" t="str">
        <f t="shared" si="0"/>
        <v>0</v>
      </c>
      <c r="O86" s="98" t="str">
        <f t="shared" si="1"/>
        <v/>
      </c>
      <c r="P86" s="80" t="e">
        <f t="shared" si="2"/>
        <v>#REF!</v>
      </c>
      <c r="Q86" s="75">
        <v>6.2000000000000001E-9</v>
      </c>
      <c r="R86" s="175" t="e">
        <f>IF(OR('Inventaire M-1'!#REF!="Dispo/Liquidité Investie",'Inventaire M-1'!#REF!="Option/Future",'Inventaire M-1'!#REF!="TCN",'Inventaire M-1'!#REF!=""),"-",'Inventaire M-1'!#REF!)</f>
        <v>#REF!</v>
      </c>
      <c r="S86" s="175" t="e">
        <f>IF(OR('Inventaire M-1'!#REF!="Dispo/Liquidité Investie",'Inventaire M-1'!#REF!="Option/Future",'Inventaire M-1'!#REF!="TCN",'Inventaire M-1'!#REF!=""),"-",'Inventaire M-1'!#REF!)</f>
        <v>#REF!</v>
      </c>
      <c r="T86" s="175"/>
      <c r="U86" s="175" t="e">
        <f>IF(R86="-","",INDEX('Inventaire M-1'!$A$2:$AG$9334,MATCH(R86,'Inventaire M-1'!$A:$A,0)-1,MATCH("Cours EUR",'Inventaire M-1'!#REF!,0)))</f>
        <v>#REF!</v>
      </c>
      <c r="V86" s="175" t="e">
        <f>IF(R86="-","",IF(ISERROR(INDEX('Inventaire M'!$A$2:$AD$9319,MATCH(R86,'Inventaire M'!$A:$A,0)-1,MATCH("Cours EUR",'Inventaire M'!#REF!,0))),"Sell",INDEX('Inventaire M'!$A$2:$AD$9319,MATCH(R86,'Inventaire M'!$A:$A,0)-1,MATCH("Cours EUR",'Inventaire M'!#REF!,0))))</f>
        <v>#REF!</v>
      </c>
      <c r="W86" s="175"/>
      <c r="X86" s="156" t="e">
        <f>IF(R86="-","",INDEX('Inventaire M-1'!$A$2:$AG$9334,MATCH(R86,'Inventaire M-1'!$A:$A,0)-1,MATCH("quantite",'Inventaire M-1'!#REF!,0)))</f>
        <v>#REF!</v>
      </c>
      <c r="Y86" s="156" t="e">
        <f>IF(S86="-","",IF(ISERROR(INDEX('Inventaire M'!$A$2:$AD$9319,MATCH(R86,'Inventaire M'!$A:$A,0)-1,MATCH("quantite",'Inventaire M'!#REF!,0))),"Sell",INDEX('Inventaire M'!$A$2:$AD$9319,MATCH(R86,'Inventaire M'!$A:$A,0)-1,MATCH("quantite",'Inventaire M'!#REF!,0))))</f>
        <v>#REF!</v>
      </c>
      <c r="Z86" s="175"/>
      <c r="AA86" s="155" t="e">
        <f>IF(R86="-","",INDEX('Inventaire M-1'!$A$2:$AG$9334,MATCH(R86,'Inventaire M-1'!$A:$A,0)-1,MATCH("poids",'Inventaire M-1'!#REF!,0)))</f>
        <v>#REF!</v>
      </c>
      <c r="AB86" s="155" t="e">
        <f>IF(R86="-","",IF(ISERROR(INDEX('Inventaire M'!$A$2:$AD$9319,MATCH(R86,'Inventaire M'!$A:$A,0)-1,MATCH("poids",'Inventaire M'!#REF!,0))),"Sell",INDEX('Inventaire M'!$A$2:$AD$9319,MATCH(R86,'Inventaire M'!$A:$A,0)-1,MATCH("poids",'Inventaire M'!#REF!,0))))</f>
        <v>#REF!</v>
      </c>
      <c r="AC86" s="175"/>
      <c r="AD86" s="157" t="str">
        <f t="shared" si="3"/>
        <v>0</v>
      </c>
      <c r="AE86" s="98" t="str">
        <f t="shared" si="4"/>
        <v/>
      </c>
      <c r="AF86" s="80" t="e">
        <f t="shared" si="5"/>
        <v>#REF!</v>
      </c>
    </row>
    <row r="87" spans="2:32" outlineLevel="1">
      <c r="B87" s="175" t="e">
        <f>IF(OR('Inventaire M'!#REF!="Dispo/Liquidité Investie",'Inventaire M'!#REF!="Option/Future",'Inventaire M'!#REF!="TCN",'Inventaire M'!#REF!=""),"-",'Inventaire M'!#REF!)</f>
        <v>#REF!</v>
      </c>
      <c r="C87" s="175" t="e">
        <f>IF(OR('Inventaire M'!#REF!="Dispo/Liquidité Investie",'Inventaire M'!#REF!="Option/Future",'Inventaire M'!#REF!="TCN",'Inventaire M'!#REF!=""),"-",'Inventaire M'!#REF!)</f>
        <v>#REF!</v>
      </c>
      <c r="D87" s="175"/>
      <c r="E87" s="175" t="e">
        <f>IF(B87="-","",INDEX('Inventaire M'!$A$2:$AW$9305,MATCH(B87,'Inventaire M'!$A:$A,0)-1,MATCH("Cours EUR",'Inventaire M'!#REF!,0)))</f>
        <v>#REF!</v>
      </c>
      <c r="F87" s="175" t="e">
        <f>IF(B87="-","",IF(ISERROR(INDEX('Inventaire M-1'!$A$2:$AZ$9320,MATCH(B87,'Inventaire M-1'!$A:$A,0)-1,MATCH("Cours EUR",'Inventaire M-1'!#REF!,0))),"Buy",INDEX('Inventaire M-1'!$A$2:$AZ$9320,MATCH(B87,'Inventaire M-1'!$A:$A,0)-1,MATCH("Cours EUR",'Inventaire M-1'!#REF!,0))))</f>
        <v>#REF!</v>
      </c>
      <c r="G87" s="175"/>
      <c r="H87" s="156" t="e">
        <f>IF(B87="-","",INDEX('Inventaire M'!$A$2:$AW$9305,MATCH(B87,'Inventaire M'!$A:$A,0)-1,MATCH("quantite",'Inventaire M'!#REF!,0)))</f>
        <v>#REF!</v>
      </c>
      <c r="I87" s="156" t="e">
        <f>IF(C87="-","",IF(ISERROR(INDEX('Inventaire M-1'!$A$2:$AZ$9320,MATCH(B87,'Inventaire M-1'!$A:$A,0)-1,MATCH("quantite",'Inventaire M-1'!#REF!,0))),"Buy",INDEX('Inventaire M-1'!$A$2:$AZ$9320,MATCH(B87,'Inventaire M-1'!$A:$A,0)-1,MATCH("quantite",'Inventaire M-1'!#REF!,0))))</f>
        <v>#REF!</v>
      </c>
      <c r="J87" s="175"/>
      <c r="K87" s="155" t="e">
        <f>IF(B87="-","",INDEX('Inventaire M'!$A$2:$AW$9305,MATCH(B87,'Inventaire M'!$A:$A,0)-1,MATCH("poids",'Inventaire M'!#REF!,0)))</f>
        <v>#REF!</v>
      </c>
      <c r="L87" s="155" t="e">
        <f>IF(B87="-","",IF(ISERROR(INDEX('Inventaire M-1'!$A$2:$AZ$9320,MATCH(B87,'Inventaire M-1'!$A:$A,0)-1,MATCH("poids",'Inventaire M-1'!#REF!,0))),"Buy",INDEX('Inventaire M-1'!$A$2:$AZ$9320,MATCH(B87,'Inventaire M-1'!$A:$A,0)-1,MATCH("poids",'Inventaire M-1'!#REF!,0))))</f>
        <v>#REF!</v>
      </c>
      <c r="M87" s="175"/>
      <c r="N87" s="157" t="str">
        <f t="shared" si="0"/>
        <v>0</v>
      </c>
      <c r="O87" s="98" t="str">
        <f t="shared" si="1"/>
        <v/>
      </c>
      <c r="P87" s="80" t="e">
        <f t="shared" si="2"/>
        <v>#REF!</v>
      </c>
      <c r="Q87" s="75">
        <v>6.3000000000000002E-9</v>
      </c>
      <c r="R87" s="175" t="e">
        <f>IF(OR('Inventaire M-1'!#REF!="Dispo/Liquidité Investie",'Inventaire M-1'!#REF!="Option/Future",'Inventaire M-1'!#REF!="TCN",'Inventaire M-1'!#REF!=""),"-",'Inventaire M-1'!#REF!)</f>
        <v>#REF!</v>
      </c>
      <c r="S87" s="175" t="e">
        <f>IF(OR('Inventaire M-1'!#REF!="Dispo/Liquidité Investie",'Inventaire M-1'!#REF!="Option/Future",'Inventaire M-1'!#REF!="TCN",'Inventaire M-1'!#REF!=""),"-",'Inventaire M-1'!#REF!)</f>
        <v>#REF!</v>
      </c>
      <c r="T87" s="175"/>
      <c r="U87" s="175" t="e">
        <f>IF(R87="-","",INDEX('Inventaire M-1'!$A$2:$AG$9334,MATCH(R87,'Inventaire M-1'!$A:$A,0)-1,MATCH("Cours EUR",'Inventaire M-1'!#REF!,0)))</f>
        <v>#REF!</v>
      </c>
      <c r="V87" s="175" t="e">
        <f>IF(R87="-","",IF(ISERROR(INDEX('Inventaire M'!$A$2:$AD$9319,MATCH(R87,'Inventaire M'!$A:$A,0)-1,MATCH("Cours EUR",'Inventaire M'!#REF!,0))),"Sell",INDEX('Inventaire M'!$A$2:$AD$9319,MATCH(R87,'Inventaire M'!$A:$A,0)-1,MATCH("Cours EUR",'Inventaire M'!#REF!,0))))</f>
        <v>#REF!</v>
      </c>
      <c r="W87" s="175"/>
      <c r="X87" s="156" t="e">
        <f>IF(R87="-","",INDEX('Inventaire M-1'!$A$2:$AG$9334,MATCH(R87,'Inventaire M-1'!$A:$A,0)-1,MATCH("quantite",'Inventaire M-1'!#REF!,0)))</f>
        <v>#REF!</v>
      </c>
      <c r="Y87" s="156" t="e">
        <f>IF(S87="-","",IF(ISERROR(INDEX('Inventaire M'!$A$2:$AD$9319,MATCH(R87,'Inventaire M'!$A:$A,0)-1,MATCH("quantite",'Inventaire M'!#REF!,0))),"Sell",INDEX('Inventaire M'!$A$2:$AD$9319,MATCH(R87,'Inventaire M'!$A:$A,0)-1,MATCH("quantite",'Inventaire M'!#REF!,0))))</f>
        <v>#REF!</v>
      </c>
      <c r="Z87" s="175"/>
      <c r="AA87" s="155" t="e">
        <f>IF(R87="-","",INDEX('Inventaire M-1'!$A$2:$AG$9334,MATCH(R87,'Inventaire M-1'!$A:$A,0)-1,MATCH("poids",'Inventaire M-1'!#REF!,0)))</f>
        <v>#REF!</v>
      </c>
      <c r="AB87" s="155" t="e">
        <f>IF(R87="-","",IF(ISERROR(INDEX('Inventaire M'!$A$2:$AD$9319,MATCH(R87,'Inventaire M'!$A:$A,0)-1,MATCH("poids",'Inventaire M'!#REF!,0))),"Sell",INDEX('Inventaire M'!$A$2:$AD$9319,MATCH(R87,'Inventaire M'!$A:$A,0)-1,MATCH("poids",'Inventaire M'!#REF!,0))))</f>
        <v>#REF!</v>
      </c>
      <c r="AC87" s="175"/>
      <c r="AD87" s="157" t="str">
        <f t="shared" si="3"/>
        <v>0</v>
      </c>
      <c r="AE87" s="98" t="str">
        <f t="shared" si="4"/>
        <v/>
      </c>
      <c r="AF87" s="80" t="e">
        <f t="shared" si="5"/>
        <v>#REF!</v>
      </c>
    </row>
    <row r="88" spans="2:32" outlineLevel="1">
      <c r="B88" s="175" t="e">
        <f>IF(OR('Inventaire M'!#REF!="Dispo/Liquidité Investie",'Inventaire M'!#REF!="Option/Future",'Inventaire M'!#REF!="TCN",'Inventaire M'!#REF!=""),"-",'Inventaire M'!#REF!)</f>
        <v>#REF!</v>
      </c>
      <c r="C88" s="175" t="e">
        <f>IF(OR('Inventaire M'!#REF!="Dispo/Liquidité Investie",'Inventaire M'!#REF!="Option/Future",'Inventaire M'!#REF!="TCN",'Inventaire M'!#REF!=""),"-",'Inventaire M'!#REF!)</f>
        <v>#REF!</v>
      </c>
      <c r="D88" s="175"/>
      <c r="E88" s="175" t="e">
        <f>IF(B88="-","",INDEX('Inventaire M'!$A$2:$AW$9305,MATCH(B88,'Inventaire M'!$A:$A,0)-1,MATCH("Cours EUR",'Inventaire M'!#REF!,0)))</f>
        <v>#REF!</v>
      </c>
      <c r="F88" s="175" t="e">
        <f>IF(B88="-","",IF(ISERROR(INDEX('Inventaire M-1'!$A$2:$AZ$9320,MATCH(B88,'Inventaire M-1'!$A:$A,0)-1,MATCH("Cours EUR",'Inventaire M-1'!#REF!,0))),"Buy",INDEX('Inventaire M-1'!$A$2:$AZ$9320,MATCH(B88,'Inventaire M-1'!$A:$A,0)-1,MATCH("Cours EUR",'Inventaire M-1'!#REF!,0))))</f>
        <v>#REF!</v>
      </c>
      <c r="G88" s="175"/>
      <c r="H88" s="156" t="e">
        <f>IF(B88="-","",INDEX('Inventaire M'!$A$2:$AW$9305,MATCH(B88,'Inventaire M'!$A:$A,0)-1,MATCH("quantite",'Inventaire M'!#REF!,0)))</f>
        <v>#REF!</v>
      </c>
      <c r="I88" s="156" t="e">
        <f>IF(C88="-","",IF(ISERROR(INDEX('Inventaire M-1'!$A$2:$AZ$9320,MATCH(B88,'Inventaire M-1'!$A:$A,0)-1,MATCH("quantite",'Inventaire M-1'!#REF!,0))),"Buy",INDEX('Inventaire M-1'!$A$2:$AZ$9320,MATCH(B88,'Inventaire M-1'!$A:$A,0)-1,MATCH("quantite",'Inventaire M-1'!#REF!,0))))</f>
        <v>#REF!</v>
      </c>
      <c r="J88" s="175"/>
      <c r="K88" s="155" t="e">
        <f>IF(B88="-","",INDEX('Inventaire M'!$A$2:$AW$9305,MATCH(B88,'Inventaire M'!$A:$A,0)-1,MATCH("poids",'Inventaire M'!#REF!,0)))</f>
        <v>#REF!</v>
      </c>
      <c r="L88" s="155" t="e">
        <f>IF(B88="-","",IF(ISERROR(INDEX('Inventaire M-1'!$A$2:$AZ$9320,MATCH(B88,'Inventaire M-1'!$A:$A,0)-1,MATCH("poids",'Inventaire M-1'!#REF!,0))),"Buy",INDEX('Inventaire M-1'!$A$2:$AZ$9320,MATCH(B88,'Inventaire M-1'!$A:$A,0)-1,MATCH("poids",'Inventaire M-1'!#REF!,0))))</f>
        <v>#REF!</v>
      </c>
      <c r="M88" s="175"/>
      <c r="N88" s="157" t="str">
        <f t="shared" si="0"/>
        <v>0</v>
      </c>
      <c r="O88" s="98" t="str">
        <f t="shared" si="1"/>
        <v/>
      </c>
      <c r="P88" s="80" t="e">
        <f t="shared" si="2"/>
        <v>#REF!</v>
      </c>
      <c r="Q88" s="75">
        <v>6.4000000000000002E-9</v>
      </c>
      <c r="R88" s="175" t="e">
        <f>IF(OR('Inventaire M-1'!#REF!="Dispo/Liquidité Investie",'Inventaire M-1'!#REF!="Option/Future",'Inventaire M-1'!#REF!="TCN",'Inventaire M-1'!#REF!=""),"-",'Inventaire M-1'!#REF!)</f>
        <v>#REF!</v>
      </c>
      <c r="S88" s="175" t="e">
        <f>IF(OR('Inventaire M-1'!#REF!="Dispo/Liquidité Investie",'Inventaire M-1'!#REF!="Option/Future",'Inventaire M-1'!#REF!="TCN",'Inventaire M-1'!#REF!=""),"-",'Inventaire M-1'!#REF!)</f>
        <v>#REF!</v>
      </c>
      <c r="T88" s="175"/>
      <c r="U88" s="175" t="e">
        <f>IF(R88="-","",INDEX('Inventaire M-1'!$A$2:$AG$9334,MATCH(R88,'Inventaire M-1'!$A:$A,0)-1,MATCH("Cours EUR",'Inventaire M-1'!#REF!,0)))</f>
        <v>#REF!</v>
      </c>
      <c r="V88" s="175" t="e">
        <f>IF(R88="-","",IF(ISERROR(INDEX('Inventaire M'!$A$2:$AD$9319,MATCH(R88,'Inventaire M'!$A:$A,0)-1,MATCH("Cours EUR",'Inventaire M'!#REF!,0))),"Sell",INDEX('Inventaire M'!$A$2:$AD$9319,MATCH(R88,'Inventaire M'!$A:$A,0)-1,MATCH("Cours EUR",'Inventaire M'!#REF!,0))))</f>
        <v>#REF!</v>
      </c>
      <c r="W88" s="175"/>
      <c r="X88" s="156" t="e">
        <f>IF(R88="-","",INDEX('Inventaire M-1'!$A$2:$AG$9334,MATCH(R88,'Inventaire M-1'!$A:$A,0)-1,MATCH("quantite",'Inventaire M-1'!#REF!,0)))</f>
        <v>#REF!</v>
      </c>
      <c r="Y88" s="156" t="e">
        <f>IF(S88="-","",IF(ISERROR(INDEX('Inventaire M'!$A$2:$AD$9319,MATCH(R88,'Inventaire M'!$A:$A,0)-1,MATCH("quantite",'Inventaire M'!#REF!,0))),"Sell",INDEX('Inventaire M'!$A$2:$AD$9319,MATCH(R88,'Inventaire M'!$A:$A,0)-1,MATCH("quantite",'Inventaire M'!#REF!,0))))</f>
        <v>#REF!</v>
      </c>
      <c r="Z88" s="175"/>
      <c r="AA88" s="155" t="e">
        <f>IF(R88="-","",INDEX('Inventaire M-1'!$A$2:$AG$9334,MATCH(R88,'Inventaire M-1'!$A:$A,0)-1,MATCH("poids",'Inventaire M-1'!#REF!,0)))</f>
        <v>#REF!</v>
      </c>
      <c r="AB88" s="155" t="e">
        <f>IF(R88="-","",IF(ISERROR(INDEX('Inventaire M'!$A$2:$AD$9319,MATCH(R88,'Inventaire M'!$A:$A,0)-1,MATCH("poids",'Inventaire M'!#REF!,0))),"Sell",INDEX('Inventaire M'!$A$2:$AD$9319,MATCH(R88,'Inventaire M'!$A:$A,0)-1,MATCH("poids",'Inventaire M'!#REF!,0))))</f>
        <v>#REF!</v>
      </c>
      <c r="AC88" s="175"/>
      <c r="AD88" s="157" t="str">
        <f t="shared" si="3"/>
        <v>0</v>
      </c>
      <c r="AE88" s="98" t="str">
        <f t="shared" si="4"/>
        <v/>
      </c>
      <c r="AF88" s="80" t="e">
        <f t="shared" si="5"/>
        <v>#REF!</v>
      </c>
    </row>
    <row r="89" spans="2:32" outlineLevel="1">
      <c r="B89" s="175" t="e">
        <f>IF(OR('Inventaire M'!#REF!="Dispo/Liquidité Investie",'Inventaire M'!#REF!="Option/Future",'Inventaire M'!#REF!="TCN",'Inventaire M'!#REF!=""),"-",'Inventaire M'!#REF!)</f>
        <v>#REF!</v>
      </c>
      <c r="C89" s="175" t="e">
        <f>IF(OR('Inventaire M'!#REF!="Dispo/Liquidité Investie",'Inventaire M'!#REF!="Option/Future",'Inventaire M'!#REF!="TCN",'Inventaire M'!#REF!=""),"-",'Inventaire M'!#REF!)</f>
        <v>#REF!</v>
      </c>
      <c r="D89" s="175"/>
      <c r="E89" s="175" t="e">
        <f>IF(B89="-","",INDEX('Inventaire M'!$A$2:$AW$9305,MATCH(B89,'Inventaire M'!$A:$A,0)-1,MATCH("Cours EUR",'Inventaire M'!#REF!,0)))</f>
        <v>#REF!</v>
      </c>
      <c r="F89" s="175" t="e">
        <f>IF(B89="-","",IF(ISERROR(INDEX('Inventaire M-1'!$A$2:$AZ$9320,MATCH(B89,'Inventaire M-1'!$A:$A,0)-1,MATCH("Cours EUR",'Inventaire M-1'!#REF!,0))),"Buy",INDEX('Inventaire M-1'!$A$2:$AZ$9320,MATCH(B89,'Inventaire M-1'!$A:$A,0)-1,MATCH("Cours EUR",'Inventaire M-1'!#REF!,0))))</f>
        <v>#REF!</v>
      </c>
      <c r="G89" s="175"/>
      <c r="H89" s="156" t="e">
        <f>IF(B89="-","",INDEX('Inventaire M'!$A$2:$AW$9305,MATCH(B89,'Inventaire M'!$A:$A,0)-1,MATCH("quantite",'Inventaire M'!#REF!,0)))</f>
        <v>#REF!</v>
      </c>
      <c r="I89" s="156" t="e">
        <f>IF(C89="-","",IF(ISERROR(INDEX('Inventaire M-1'!$A$2:$AZ$9320,MATCH(B89,'Inventaire M-1'!$A:$A,0)-1,MATCH("quantite",'Inventaire M-1'!#REF!,0))),"Buy",INDEX('Inventaire M-1'!$A$2:$AZ$9320,MATCH(B89,'Inventaire M-1'!$A:$A,0)-1,MATCH("quantite",'Inventaire M-1'!#REF!,0))))</f>
        <v>#REF!</v>
      </c>
      <c r="J89" s="175"/>
      <c r="K89" s="155" t="e">
        <f>IF(B89="-","",INDEX('Inventaire M'!$A$2:$AW$9305,MATCH(B89,'Inventaire M'!$A:$A,0)-1,MATCH("poids",'Inventaire M'!#REF!,0)))</f>
        <v>#REF!</v>
      </c>
      <c r="L89" s="155" t="e">
        <f>IF(B89="-","",IF(ISERROR(INDEX('Inventaire M-1'!$A$2:$AZ$9320,MATCH(B89,'Inventaire M-1'!$A:$A,0)-1,MATCH("poids",'Inventaire M-1'!#REF!,0))),"Buy",INDEX('Inventaire M-1'!$A$2:$AZ$9320,MATCH(B89,'Inventaire M-1'!$A:$A,0)-1,MATCH("poids",'Inventaire M-1'!#REF!,0))))</f>
        <v>#REF!</v>
      </c>
      <c r="M89" s="175"/>
      <c r="N89" s="157" t="str">
        <f t="shared" si="0"/>
        <v>0</v>
      </c>
      <c r="O89" s="98" t="str">
        <f t="shared" si="1"/>
        <v/>
      </c>
      <c r="P89" s="80" t="e">
        <f t="shared" si="2"/>
        <v>#REF!</v>
      </c>
      <c r="Q89" s="75">
        <v>6.5000000000000003E-9</v>
      </c>
      <c r="R89" s="175" t="e">
        <f>IF(OR('Inventaire M-1'!#REF!="Dispo/Liquidité Investie",'Inventaire M-1'!#REF!="Option/Future",'Inventaire M-1'!#REF!="TCN",'Inventaire M-1'!#REF!=""),"-",'Inventaire M-1'!#REF!)</f>
        <v>#REF!</v>
      </c>
      <c r="S89" s="175" t="e">
        <f>IF(OR('Inventaire M-1'!#REF!="Dispo/Liquidité Investie",'Inventaire M-1'!#REF!="Option/Future",'Inventaire M-1'!#REF!="TCN",'Inventaire M-1'!#REF!=""),"-",'Inventaire M-1'!#REF!)</f>
        <v>#REF!</v>
      </c>
      <c r="T89" s="175"/>
      <c r="U89" s="175" t="e">
        <f>IF(R89="-","",INDEX('Inventaire M-1'!$A$2:$AG$9334,MATCH(R89,'Inventaire M-1'!$A:$A,0)-1,MATCH("Cours EUR",'Inventaire M-1'!#REF!,0)))</f>
        <v>#REF!</v>
      </c>
      <c r="V89" s="175" t="e">
        <f>IF(R89="-","",IF(ISERROR(INDEX('Inventaire M'!$A$2:$AD$9319,MATCH(R89,'Inventaire M'!$A:$A,0)-1,MATCH("Cours EUR",'Inventaire M'!#REF!,0))),"Sell",INDEX('Inventaire M'!$A$2:$AD$9319,MATCH(R89,'Inventaire M'!$A:$A,0)-1,MATCH("Cours EUR",'Inventaire M'!#REF!,0))))</f>
        <v>#REF!</v>
      </c>
      <c r="W89" s="175"/>
      <c r="X89" s="156" t="e">
        <f>IF(R89="-","",INDEX('Inventaire M-1'!$A$2:$AG$9334,MATCH(R89,'Inventaire M-1'!$A:$A,0)-1,MATCH("quantite",'Inventaire M-1'!#REF!,0)))</f>
        <v>#REF!</v>
      </c>
      <c r="Y89" s="156" t="e">
        <f>IF(S89="-","",IF(ISERROR(INDEX('Inventaire M'!$A$2:$AD$9319,MATCH(R89,'Inventaire M'!$A:$A,0)-1,MATCH("quantite",'Inventaire M'!#REF!,0))),"Sell",INDEX('Inventaire M'!$A$2:$AD$9319,MATCH(R89,'Inventaire M'!$A:$A,0)-1,MATCH("quantite",'Inventaire M'!#REF!,0))))</f>
        <v>#REF!</v>
      </c>
      <c r="Z89" s="175"/>
      <c r="AA89" s="155" t="e">
        <f>IF(R89="-","",INDEX('Inventaire M-1'!$A$2:$AG$9334,MATCH(R89,'Inventaire M-1'!$A:$A,0)-1,MATCH("poids",'Inventaire M-1'!#REF!,0)))</f>
        <v>#REF!</v>
      </c>
      <c r="AB89" s="155" t="e">
        <f>IF(R89="-","",IF(ISERROR(INDEX('Inventaire M'!$A$2:$AD$9319,MATCH(R89,'Inventaire M'!$A:$A,0)-1,MATCH("poids",'Inventaire M'!#REF!,0))),"Sell",INDEX('Inventaire M'!$A$2:$AD$9319,MATCH(R89,'Inventaire M'!$A:$A,0)-1,MATCH("poids",'Inventaire M'!#REF!,0))))</f>
        <v>#REF!</v>
      </c>
      <c r="AC89" s="175"/>
      <c r="AD89" s="157" t="str">
        <f t="shared" si="3"/>
        <v>0</v>
      </c>
      <c r="AE89" s="98" t="str">
        <f t="shared" si="4"/>
        <v/>
      </c>
      <c r="AF89" s="80" t="e">
        <f t="shared" si="5"/>
        <v>#REF!</v>
      </c>
    </row>
    <row r="90" spans="2:32" outlineLevel="1">
      <c r="B90" s="175" t="e">
        <f>IF(OR('Inventaire M'!#REF!="Dispo/Liquidité Investie",'Inventaire M'!#REF!="Option/Future",'Inventaire M'!#REF!="TCN",'Inventaire M'!#REF!=""),"-",'Inventaire M'!#REF!)</f>
        <v>#REF!</v>
      </c>
      <c r="C90" s="175" t="e">
        <f>IF(OR('Inventaire M'!#REF!="Dispo/Liquidité Investie",'Inventaire M'!#REF!="Option/Future",'Inventaire M'!#REF!="TCN",'Inventaire M'!#REF!=""),"-",'Inventaire M'!#REF!)</f>
        <v>#REF!</v>
      </c>
      <c r="D90" s="175"/>
      <c r="E90" s="175" t="e">
        <f>IF(B90="-","",INDEX('Inventaire M'!$A$2:$AW$9305,MATCH(B90,'Inventaire M'!$A:$A,0)-1,MATCH("Cours EUR",'Inventaire M'!#REF!,0)))</f>
        <v>#REF!</v>
      </c>
      <c r="F90" s="175" t="e">
        <f>IF(B90="-","",IF(ISERROR(INDEX('Inventaire M-1'!$A$2:$AZ$9320,MATCH(B90,'Inventaire M-1'!$A:$A,0)-1,MATCH("Cours EUR",'Inventaire M-1'!#REF!,0))),"Buy",INDEX('Inventaire M-1'!$A$2:$AZ$9320,MATCH(B90,'Inventaire M-1'!$A:$A,0)-1,MATCH("Cours EUR",'Inventaire M-1'!#REF!,0))))</f>
        <v>#REF!</v>
      </c>
      <c r="G90" s="175"/>
      <c r="H90" s="156" t="e">
        <f>IF(B90="-","",INDEX('Inventaire M'!$A$2:$AW$9305,MATCH(B90,'Inventaire M'!$A:$A,0)-1,MATCH("quantite",'Inventaire M'!#REF!,0)))</f>
        <v>#REF!</v>
      </c>
      <c r="I90" s="156" t="e">
        <f>IF(C90="-","",IF(ISERROR(INDEX('Inventaire M-1'!$A$2:$AZ$9320,MATCH(B90,'Inventaire M-1'!$A:$A,0)-1,MATCH("quantite",'Inventaire M-1'!#REF!,0))),"Buy",INDEX('Inventaire M-1'!$A$2:$AZ$9320,MATCH(B90,'Inventaire M-1'!$A:$A,0)-1,MATCH("quantite",'Inventaire M-1'!#REF!,0))))</f>
        <v>#REF!</v>
      </c>
      <c r="J90" s="175"/>
      <c r="K90" s="155" t="e">
        <f>IF(B90="-","",INDEX('Inventaire M'!$A$2:$AW$9305,MATCH(B90,'Inventaire M'!$A:$A,0)-1,MATCH("poids",'Inventaire M'!#REF!,0)))</f>
        <v>#REF!</v>
      </c>
      <c r="L90" s="155" t="e">
        <f>IF(B90="-","",IF(ISERROR(INDEX('Inventaire M-1'!$A$2:$AZ$9320,MATCH(B90,'Inventaire M-1'!$A:$A,0)-1,MATCH("poids",'Inventaire M-1'!#REF!,0))),"Buy",INDEX('Inventaire M-1'!$A$2:$AZ$9320,MATCH(B90,'Inventaire M-1'!$A:$A,0)-1,MATCH("poids",'Inventaire M-1'!#REF!,0))))</f>
        <v>#REF!</v>
      </c>
      <c r="M90" s="175"/>
      <c r="N90" s="157" t="str">
        <f t="shared" ref="N90:N153" si="6">IFERROR(IF(I90="Buy",H90,H90-I90),"0")</f>
        <v>0</v>
      </c>
      <c r="O90" s="98" t="str">
        <f t="shared" ref="O90:O153" si="7">IFERROR(IF(N90&gt;0,IF(L90="Buy",K90,K90-L90)+Q90,""),"")</f>
        <v/>
      </c>
      <c r="P90" s="80" t="e">
        <f t="shared" ref="P90:P153" si="8">C90</f>
        <v>#REF!</v>
      </c>
      <c r="Q90" s="75">
        <v>6.6000000000000004E-9</v>
      </c>
      <c r="R90" s="175" t="e">
        <f>IF(OR('Inventaire M-1'!#REF!="Dispo/Liquidité Investie",'Inventaire M-1'!#REF!="Option/Future",'Inventaire M-1'!#REF!="TCN",'Inventaire M-1'!#REF!=""),"-",'Inventaire M-1'!#REF!)</f>
        <v>#REF!</v>
      </c>
      <c r="S90" s="175" t="e">
        <f>IF(OR('Inventaire M-1'!#REF!="Dispo/Liquidité Investie",'Inventaire M-1'!#REF!="Option/Future",'Inventaire M-1'!#REF!="TCN",'Inventaire M-1'!#REF!=""),"-",'Inventaire M-1'!#REF!)</f>
        <v>#REF!</v>
      </c>
      <c r="T90" s="175"/>
      <c r="U90" s="175" t="e">
        <f>IF(R90="-","",INDEX('Inventaire M-1'!$A$2:$AG$9334,MATCH(R90,'Inventaire M-1'!$A:$A,0)-1,MATCH("Cours EUR",'Inventaire M-1'!#REF!,0)))</f>
        <v>#REF!</v>
      </c>
      <c r="V90" s="175" t="e">
        <f>IF(R90="-","",IF(ISERROR(INDEX('Inventaire M'!$A$2:$AD$9319,MATCH(R90,'Inventaire M'!$A:$A,0)-1,MATCH("Cours EUR",'Inventaire M'!#REF!,0))),"Sell",INDEX('Inventaire M'!$A$2:$AD$9319,MATCH(R90,'Inventaire M'!$A:$A,0)-1,MATCH("Cours EUR",'Inventaire M'!#REF!,0))))</f>
        <v>#REF!</v>
      </c>
      <c r="W90" s="175"/>
      <c r="X90" s="156" t="e">
        <f>IF(R90="-","",INDEX('Inventaire M-1'!$A$2:$AG$9334,MATCH(R90,'Inventaire M-1'!$A:$A,0)-1,MATCH("quantite",'Inventaire M-1'!#REF!,0)))</f>
        <v>#REF!</v>
      </c>
      <c r="Y90" s="156" t="e">
        <f>IF(S90="-","",IF(ISERROR(INDEX('Inventaire M'!$A$2:$AD$9319,MATCH(R90,'Inventaire M'!$A:$A,0)-1,MATCH("quantite",'Inventaire M'!#REF!,0))),"Sell",INDEX('Inventaire M'!$A$2:$AD$9319,MATCH(R90,'Inventaire M'!$A:$A,0)-1,MATCH("quantite",'Inventaire M'!#REF!,0))))</f>
        <v>#REF!</v>
      </c>
      <c r="Z90" s="175"/>
      <c r="AA90" s="155" t="e">
        <f>IF(R90="-","",INDEX('Inventaire M-1'!$A$2:$AG$9334,MATCH(R90,'Inventaire M-1'!$A:$A,0)-1,MATCH("poids",'Inventaire M-1'!#REF!,0)))</f>
        <v>#REF!</v>
      </c>
      <c r="AB90" s="155" t="e">
        <f>IF(R90="-","",IF(ISERROR(INDEX('Inventaire M'!$A$2:$AD$9319,MATCH(R90,'Inventaire M'!$A:$A,0)-1,MATCH("poids",'Inventaire M'!#REF!,0))),"Sell",INDEX('Inventaire M'!$A$2:$AD$9319,MATCH(R90,'Inventaire M'!$A:$A,0)-1,MATCH("poids",'Inventaire M'!#REF!,0))))</f>
        <v>#REF!</v>
      </c>
      <c r="AC90" s="175"/>
      <c r="AD90" s="157" t="str">
        <f t="shared" ref="AD90:AD153" si="9">IFERROR(IF(Y90="Sell",-X90,Y90-X90),"0")</f>
        <v>0</v>
      </c>
      <c r="AE90" s="98" t="str">
        <f t="shared" ref="AE90:AE153" si="10">IFERROR(IF(AD90&lt;0,IF(AB90="Sell",AA90+10%,AB90-AA90)+Q90,""),"")</f>
        <v/>
      </c>
      <c r="AF90" s="80" t="e">
        <f t="shared" ref="AF90:AF153" si="11">S90</f>
        <v>#REF!</v>
      </c>
    </row>
    <row r="91" spans="2:32" outlineLevel="1">
      <c r="B91" s="175" t="e">
        <f>IF(OR('Inventaire M'!#REF!="Dispo/Liquidité Investie",'Inventaire M'!#REF!="Option/Future",'Inventaire M'!#REF!="TCN",'Inventaire M'!#REF!=""),"-",'Inventaire M'!#REF!)</f>
        <v>#REF!</v>
      </c>
      <c r="C91" s="175" t="e">
        <f>IF(OR('Inventaire M'!#REF!="Dispo/Liquidité Investie",'Inventaire M'!#REF!="Option/Future",'Inventaire M'!#REF!="TCN",'Inventaire M'!#REF!=""),"-",'Inventaire M'!#REF!)</f>
        <v>#REF!</v>
      </c>
      <c r="D91" s="175"/>
      <c r="E91" s="175" t="e">
        <f>IF(B91="-","",INDEX('Inventaire M'!$A$2:$AW$9305,MATCH(B91,'Inventaire M'!$A:$A,0)-1,MATCH("Cours EUR",'Inventaire M'!#REF!,0)))</f>
        <v>#REF!</v>
      </c>
      <c r="F91" s="175" t="e">
        <f>IF(B91="-","",IF(ISERROR(INDEX('Inventaire M-1'!$A$2:$AZ$9320,MATCH(B91,'Inventaire M-1'!$A:$A,0)-1,MATCH("Cours EUR",'Inventaire M-1'!#REF!,0))),"Buy",INDEX('Inventaire M-1'!$A$2:$AZ$9320,MATCH(B91,'Inventaire M-1'!$A:$A,0)-1,MATCH("Cours EUR",'Inventaire M-1'!#REF!,0))))</f>
        <v>#REF!</v>
      </c>
      <c r="G91" s="175"/>
      <c r="H91" s="156" t="e">
        <f>IF(B91="-","",INDEX('Inventaire M'!$A$2:$AW$9305,MATCH(B91,'Inventaire M'!$A:$A,0)-1,MATCH("quantite",'Inventaire M'!#REF!,0)))</f>
        <v>#REF!</v>
      </c>
      <c r="I91" s="156" t="e">
        <f>IF(C91="-","",IF(ISERROR(INDEX('Inventaire M-1'!$A$2:$AZ$9320,MATCH(B91,'Inventaire M-1'!$A:$A,0)-1,MATCH("quantite",'Inventaire M-1'!#REF!,0))),"Buy",INDEX('Inventaire M-1'!$A$2:$AZ$9320,MATCH(B91,'Inventaire M-1'!$A:$A,0)-1,MATCH("quantite",'Inventaire M-1'!#REF!,0))))</f>
        <v>#REF!</v>
      </c>
      <c r="J91" s="175"/>
      <c r="K91" s="155" t="e">
        <f>IF(B91="-","",INDEX('Inventaire M'!$A$2:$AW$9305,MATCH(B91,'Inventaire M'!$A:$A,0)-1,MATCH("poids",'Inventaire M'!#REF!,0)))</f>
        <v>#REF!</v>
      </c>
      <c r="L91" s="155" t="e">
        <f>IF(B91="-","",IF(ISERROR(INDEX('Inventaire M-1'!$A$2:$AZ$9320,MATCH(B91,'Inventaire M-1'!$A:$A,0)-1,MATCH("poids",'Inventaire M-1'!#REF!,0))),"Buy",INDEX('Inventaire M-1'!$A$2:$AZ$9320,MATCH(B91,'Inventaire M-1'!$A:$A,0)-1,MATCH("poids",'Inventaire M-1'!#REF!,0))))</f>
        <v>#REF!</v>
      </c>
      <c r="M91" s="175"/>
      <c r="N91" s="157" t="str">
        <f t="shared" si="6"/>
        <v>0</v>
      </c>
      <c r="O91" s="98" t="str">
        <f t="shared" si="7"/>
        <v/>
      </c>
      <c r="P91" s="80" t="e">
        <f t="shared" si="8"/>
        <v>#REF!</v>
      </c>
      <c r="Q91" s="75">
        <v>6.6999999999999996E-9</v>
      </c>
      <c r="R91" s="175" t="e">
        <f>IF(OR('Inventaire M-1'!#REF!="Dispo/Liquidité Investie",'Inventaire M-1'!#REF!="Option/Future",'Inventaire M-1'!#REF!="TCN",'Inventaire M-1'!#REF!=""),"-",'Inventaire M-1'!#REF!)</f>
        <v>#REF!</v>
      </c>
      <c r="S91" s="175" t="e">
        <f>IF(OR('Inventaire M-1'!#REF!="Dispo/Liquidité Investie",'Inventaire M-1'!#REF!="Option/Future",'Inventaire M-1'!#REF!="TCN",'Inventaire M-1'!#REF!=""),"-",'Inventaire M-1'!#REF!)</f>
        <v>#REF!</v>
      </c>
      <c r="T91" s="175"/>
      <c r="U91" s="175" t="e">
        <f>IF(R91="-","",INDEX('Inventaire M-1'!$A$2:$AG$9334,MATCH(R91,'Inventaire M-1'!$A:$A,0)-1,MATCH("Cours EUR",'Inventaire M-1'!#REF!,0)))</f>
        <v>#REF!</v>
      </c>
      <c r="V91" s="175" t="e">
        <f>IF(R91="-","",IF(ISERROR(INDEX('Inventaire M'!$A$2:$AD$9319,MATCH(R91,'Inventaire M'!$A:$A,0)-1,MATCH("Cours EUR",'Inventaire M'!#REF!,0))),"Sell",INDEX('Inventaire M'!$A$2:$AD$9319,MATCH(R91,'Inventaire M'!$A:$A,0)-1,MATCH("Cours EUR",'Inventaire M'!#REF!,0))))</f>
        <v>#REF!</v>
      </c>
      <c r="W91" s="175"/>
      <c r="X91" s="156" t="e">
        <f>IF(R91="-","",INDEX('Inventaire M-1'!$A$2:$AG$9334,MATCH(R91,'Inventaire M-1'!$A:$A,0)-1,MATCH("quantite",'Inventaire M-1'!#REF!,0)))</f>
        <v>#REF!</v>
      </c>
      <c r="Y91" s="156" t="e">
        <f>IF(S91="-","",IF(ISERROR(INDEX('Inventaire M'!$A$2:$AD$9319,MATCH(R91,'Inventaire M'!$A:$A,0)-1,MATCH("quantite",'Inventaire M'!#REF!,0))),"Sell",INDEX('Inventaire M'!$A$2:$AD$9319,MATCH(R91,'Inventaire M'!$A:$A,0)-1,MATCH("quantite",'Inventaire M'!#REF!,0))))</f>
        <v>#REF!</v>
      </c>
      <c r="Z91" s="175"/>
      <c r="AA91" s="155" t="e">
        <f>IF(R91="-","",INDEX('Inventaire M-1'!$A$2:$AG$9334,MATCH(R91,'Inventaire M-1'!$A:$A,0)-1,MATCH("poids",'Inventaire M-1'!#REF!,0)))</f>
        <v>#REF!</v>
      </c>
      <c r="AB91" s="155" t="e">
        <f>IF(R91="-","",IF(ISERROR(INDEX('Inventaire M'!$A$2:$AD$9319,MATCH(R91,'Inventaire M'!$A:$A,0)-1,MATCH("poids",'Inventaire M'!#REF!,0))),"Sell",INDEX('Inventaire M'!$A$2:$AD$9319,MATCH(R91,'Inventaire M'!$A:$A,0)-1,MATCH("poids",'Inventaire M'!#REF!,0))))</f>
        <v>#REF!</v>
      </c>
      <c r="AC91" s="175"/>
      <c r="AD91" s="157" t="str">
        <f t="shared" si="9"/>
        <v>0</v>
      </c>
      <c r="AE91" s="98" t="str">
        <f t="shared" si="10"/>
        <v/>
      </c>
      <c r="AF91" s="80" t="e">
        <f t="shared" si="11"/>
        <v>#REF!</v>
      </c>
    </row>
    <row r="92" spans="2:32" outlineLevel="1">
      <c r="B92" s="175" t="e">
        <f>IF(OR('Inventaire M'!#REF!="Dispo/Liquidité Investie",'Inventaire M'!#REF!="Option/Future",'Inventaire M'!#REF!="TCN",'Inventaire M'!#REF!=""),"-",'Inventaire M'!#REF!)</f>
        <v>#REF!</v>
      </c>
      <c r="C92" s="175" t="e">
        <f>IF(OR('Inventaire M'!#REF!="Dispo/Liquidité Investie",'Inventaire M'!#REF!="Option/Future",'Inventaire M'!#REF!="TCN",'Inventaire M'!#REF!=""),"-",'Inventaire M'!#REF!)</f>
        <v>#REF!</v>
      </c>
      <c r="D92" s="175"/>
      <c r="E92" s="175" t="e">
        <f>IF(B92="-","",INDEX('Inventaire M'!$A$2:$AW$9305,MATCH(B92,'Inventaire M'!$A:$A,0)-1,MATCH("Cours EUR",'Inventaire M'!#REF!,0)))</f>
        <v>#REF!</v>
      </c>
      <c r="F92" s="175" t="e">
        <f>IF(B92="-","",IF(ISERROR(INDEX('Inventaire M-1'!$A$2:$AZ$9320,MATCH(B92,'Inventaire M-1'!$A:$A,0)-1,MATCH("Cours EUR",'Inventaire M-1'!#REF!,0))),"Buy",INDEX('Inventaire M-1'!$A$2:$AZ$9320,MATCH(B92,'Inventaire M-1'!$A:$A,0)-1,MATCH("Cours EUR",'Inventaire M-1'!#REF!,0))))</f>
        <v>#REF!</v>
      </c>
      <c r="G92" s="175"/>
      <c r="H92" s="156" t="e">
        <f>IF(B92="-","",INDEX('Inventaire M'!$A$2:$AW$9305,MATCH(B92,'Inventaire M'!$A:$A,0)-1,MATCH("quantite",'Inventaire M'!#REF!,0)))</f>
        <v>#REF!</v>
      </c>
      <c r="I92" s="156" t="e">
        <f>IF(C92="-","",IF(ISERROR(INDEX('Inventaire M-1'!$A$2:$AZ$9320,MATCH(B92,'Inventaire M-1'!$A:$A,0)-1,MATCH("quantite",'Inventaire M-1'!#REF!,0))),"Buy",INDEX('Inventaire M-1'!$A$2:$AZ$9320,MATCH(B92,'Inventaire M-1'!$A:$A,0)-1,MATCH("quantite",'Inventaire M-1'!#REF!,0))))</f>
        <v>#REF!</v>
      </c>
      <c r="J92" s="175"/>
      <c r="K92" s="155" t="e">
        <f>IF(B92="-","",INDEX('Inventaire M'!$A$2:$AW$9305,MATCH(B92,'Inventaire M'!$A:$A,0)-1,MATCH("poids",'Inventaire M'!#REF!,0)))</f>
        <v>#REF!</v>
      </c>
      <c r="L92" s="155" t="e">
        <f>IF(B92="-","",IF(ISERROR(INDEX('Inventaire M-1'!$A$2:$AZ$9320,MATCH(B92,'Inventaire M-1'!$A:$A,0)-1,MATCH("poids",'Inventaire M-1'!#REF!,0))),"Buy",INDEX('Inventaire M-1'!$A$2:$AZ$9320,MATCH(B92,'Inventaire M-1'!$A:$A,0)-1,MATCH("poids",'Inventaire M-1'!#REF!,0))))</f>
        <v>#REF!</v>
      </c>
      <c r="M92" s="175"/>
      <c r="N92" s="157" t="str">
        <f t="shared" si="6"/>
        <v>0</v>
      </c>
      <c r="O92" s="98" t="str">
        <f t="shared" si="7"/>
        <v/>
      </c>
      <c r="P92" s="80" t="e">
        <f t="shared" si="8"/>
        <v>#REF!</v>
      </c>
      <c r="Q92" s="75">
        <v>6.7999999999999997E-9</v>
      </c>
      <c r="R92" s="175" t="e">
        <f>IF(OR('Inventaire M-1'!#REF!="Dispo/Liquidité Investie",'Inventaire M-1'!#REF!="Option/Future",'Inventaire M-1'!#REF!="TCN",'Inventaire M-1'!#REF!=""),"-",'Inventaire M-1'!#REF!)</f>
        <v>#REF!</v>
      </c>
      <c r="S92" s="175" t="e">
        <f>IF(OR('Inventaire M-1'!#REF!="Dispo/Liquidité Investie",'Inventaire M-1'!#REF!="Option/Future",'Inventaire M-1'!#REF!="TCN",'Inventaire M-1'!#REF!=""),"-",'Inventaire M-1'!#REF!)</f>
        <v>#REF!</v>
      </c>
      <c r="T92" s="175"/>
      <c r="U92" s="175" t="e">
        <f>IF(R92="-","",INDEX('Inventaire M-1'!$A$2:$AG$9334,MATCH(R92,'Inventaire M-1'!$A:$A,0)-1,MATCH("Cours EUR",'Inventaire M-1'!#REF!,0)))</f>
        <v>#REF!</v>
      </c>
      <c r="V92" s="175" t="e">
        <f>IF(R92="-","",IF(ISERROR(INDEX('Inventaire M'!$A$2:$AD$9319,MATCH(R92,'Inventaire M'!$A:$A,0)-1,MATCH("Cours EUR",'Inventaire M'!#REF!,0))),"Sell",INDEX('Inventaire M'!$A$2:$AD$9319,MATCH(R92,'Inventaire M'!$A:$A,0)-1,MATCH("Cours EUR",'Inventaire M'!#REF!,0))))</f>
        <v>#REF!</v>
      </c>
      <c r="W92" s="175"/>
      <c r="X92" s="156" t="e">
        <f>IF(R92="-","",INDEX('Inventaire M-1'!$A$2:$AG$9334,MATCH(R92,'Inventaire M-1'!$A:$A,0)-1,MATCH("quantite",'Inventaire M-1'!#REF!,0)))</f>
        <v>#REF!</v>
      </c>
      <c r="Y92" s="156" t="e">
        <f>IF(S92="-","",IF(ISERROR(INDEX('Inventaire M'!$A$2:$AD$9319,MATCH(R92,'Inventaire M'!$A:$A,0)-1,MATCH("quantite",'Inventaire M'!#REF!,0))),"Sell",INDEX('Inventaire M'!$A$2:$AD$9319,MATCH(R92,'Inventaire M'!$A:$A,0)-1,MATCH("quantite",'Inventaire M'!#REF!,0))))</f>
        <v>#REF!</v>
      </c>
      <c r="Z92" s="175"/>
      <c r="AA92" s="155" t="e">
        <f>IF(R92="-","",INDEX('Inventaire M-1'!$A$2:$AG$9334,MATCH(R92,'Inventaire M-1'!$A:$A,0)-1,MATCH("poids",'Inventaire M-1'!#REF!,0)))</f>
        <v>#REF!</v>
      </c>
      <c r="AB92" s="155" t="e">
        <f>IF(R92="-","",IF(ISERROR(INDEX('Inventaire M'!$A$2:$AD$9319,MATCH(R92,'Inventaire M'!$A:$A,0)-1,MATCH("poids",'Inventaire M'!#REF!,0))),"Sell",INDEX('Inventaire M'!$A$2:$AD$9319,MATCH(R92,'Inventaire M'!$A:$A,0)-1,MATCH("poids",'Inventaire M'!#REF!,0))))</f>
        <v>#REF!</v>
      </c>
      <c r="AC92" s="175"/>
      <c r="AD92" s="157" t="str">
        <f t="shared" si="9"/>
        <v>0</v>
      </c>
      <c r="AE92" s="98" t="str">
        <f t="shared" si="10"/>
        <v/>
      </c>
      <c r="AF92" s="80" t="e">
        <f t="shared" si="11"/>
        <v>#REF!</v>
      </c>
    </row>
    <row r="93" spans="2:32" outlineLevel="1">
      <c r="B93" s="175" t="e">
        <f>IF(OR('Inventaire M'!#REF!="Dispo/Liquidité Investie",'Inventaire M'!#REF!="Option/Future",'Inventaire M'!#REF!="TCN",'Inventaire M'!#REF!=""),"-",'Inventaire M'!#REF!)</f>
        <v>#REF!</v>
      </c>
      <c r="C93" s="175" t="e">
        <f>IF(OR('Inventaire M'!#REF!="Dispo/Liquidité Investie",'Inventaire M'!#REF!="Option/Future",'Inventaire M'!#REF!="TCN",'Inventaire M'!#REF!=""),"-",'Inventaire M'!#REF!)</f>
        <v>#REF!</v>
      </c>
      <c r="D93" s="175"/>
      <c r="E93" s="175" t="e">
        <f>IF(B93="-","",INDEX('Inventaire M'!$A$2:$AW$9305,MATCH(B93,'Inventaire M'!$A:$A,0)-1,MATCH("Cours EUR",'Inventaire M'!#REF!,0)))</f>
        <v>#REF!</v>
      </c>
      <c r="F93" s="175" t="e">
        <f>IF(B93="-","",IF(ISERROR(INDEX('Inventaire M-1'!$A$2:$AZ$9320,MATCH(B93,'Inventaire M-1'!$A:$A,0)-1,MATCH("Cours EUR",'Inventaire M-1'!#REF!,0))),"Buy",INDEX('Inventaire M-1'!$A$2:$AZ$9320,MATCH(B93,'Inventaire M-1'!$A:$A,0)-1,MATCH("Cours EUR",'Inventaire M-1'!#REF!,0))))</f>
        <v>#REF!</v>
      </c>
      <c r="G93" s="175"/>
      <c r="H93" s="156" t="e">
        <f>IF(B93="-","",INDEX('Inventaire M'!$A$2:$AW$9305,MATCH(B93,'Inventaire M'!$A:$A,0)-1,MATCH("quantite",'Inventaire M'!#REF!,0)))</f>
        <v>#REF!</v>
      </c>
      <c r="I93" s="156" t="e">
        <f>IF(C93="-","",IF(ISERROR(INDEX('Inventaire M-1'!$A$2:$AZ$9320,MATCH(B93,'Inventaire M-1'!$A:$A,0)-1,MATCH("quantite",'Inventaire M-1'!#REF!,0))),"Buy",INDEX('Inventaire M-1'!$A$2:$AZ$9320,MATCH(B93,'Inventaire M-1'!$A:$A,0)-1,MATCH("quantite",'Inventaire M-1'!#REF!,0))))</f>
        <v>#REF!</v>
      </c>
      <c r="J93" s="175"/>
      <c r="K93" s="155" t="e">
        <f>IF(B93="-","",INDEX('Inventaire M'!$A$2:$AW$9305,MATCH(B93,'Inventaire M'!$A:$A,0)-1,MATCH("poids",'Inventaire M'!#REF!,0)))</f>
        <v>#REF!</v>
      </c>
      <c r="L93" s="155" t="e">
        <f>IF(B93="-","",IF(ISERROR(INDEX('Inventaire M-1'!$A$2:$AZ$9320,MATCH(B93,'Inventaire M-1'!$A:$A,0)-1,MATCH("poids",'Inventaire M-1'!#REF!,0))),"Buy",INDEX('Inventaire M-1'!$A$2:$AZ$9320,MATCH(B93,'Inventaire M-1'!$A:$A,0)-1,MATCH("poids",'Inventaire M-1'!#REF!,0))))</f>
        <v>#REF!</v>
      </c>
      <c r="M93" s="175"/>
      <c r="N93" s="157" t="str">
        <f t="shared" si="6"/>
        <v>0</v>
      </c>
      <c r="O93" s="98" t="str">
        <f t="shared" si="7"/>
        <v/>
      </c>
      <c r="P93" s="80" t="e">
        <f t="shared" si="8"/>
        <v>#REF!</v>
      </c>
      <c r="Q93" s="75">
        <v>6.8999999999999997E-9</v>
      </c>
      <c r="R93" s="175" t="e">
        <f>IF(OR('Inventaire M-1'!#REF!="Dispo/Liquidité Investie",'Inventaire M-1'!#REF!="Option/Future",'Inventaire M-1'!#REF!="TCN",'Inventaire M-1'!#REF!=""),"-",'Inventaire M-1'!#REF!)</f>
        <v>#REF!</v>
      </c>
      <c r="S93" s="175" t="e">
        <f>IF(OR('Inventaire M-1'!#REF!="Dispo/Liquidité Investie",'Inventaire M-1'!#REF!="Option/Future",'Inventaire M-1'!#REF!="TCN",'Inventaire M-1'!#REF!=""),"-",'Inventaire M-1'!#REF!)</f>
        <v>#REF!</v>
      </c>
      <c r="T93" s="175"/>
      <c r="U93" s="175" t="e">
        <f>IF(R93="-","",INDEX('Inventaire M-1'!$A$2:$AG$9334,MATCH(R93,'Inventaire M-1'!$A:$A,0)-1,MATCH("Cours EUR",'Inventaire M-1'!#REF!,0)))</f>
        <v>#REF!</v>
      </c>
      <c r="V93" s="175" t="e">
        <f>IF(R93="-","",IF(ISERROR(INDEX('Inventaire M'!$A$2:$AD$9319,MATCH(R93,'Inventaire M'!$A:$A,0)-1,MATCH("Cours EUR",'Inventaire M'!#REF!,0))),"Sell",INDEX('Inventaire M'!$A$2:$AD$9319,MATCH(R93,'Inventaire M'!$A:$A,0)-1,MATCH("Cours EUR",'Inventaire M'!#REF!,0))))</f>
        <v>#REF!</v>
      </c>
      <c r="W93" s="175"/>
      <c r="X93" s="156" t="e">
        <f>IF(R93="-","",INDEX('Inventaire M-1'!$A$2:$AG$9334,MATCH(R93,'Inventaire M-1'!$A:$A,0)-1,MATCH("quantite",'Inventaire M-1'!#REF!,0)))</f>
        <v>#REF!</v>
      </c>
      <c r="Y93" s="156" t="e">
        <f>IF(S93="-","",IF(ISERROR(INDEX('Inventaire M'!$A$2:$AD$9319,MATCH(R93,'Inventaire M'!$A:$A,0)-1,MATCH("quantite",'Inventaire M'!#REF!,0))),"Sell",INDEX('Inventaire M'!$A$2:$AD$9319,MATCH(R93,'Inventaire M'!$A:$A,0)-1,MATCH("quantite",'Inventaire M'!#REF!,0))))</f>
        <v>#REF!</v>
      </c>
      <c r="Z93" s="175"/>
      <c r="AA93" s="155" t="e">
        <f>IF(R93="-","",INDEX('Inventaire M-1'!$A$2:$AG$9334,MATCH(R93,'Inventaire M-1'!$A:$A,0)-1,MATCH("poids",'Inventaire M-1'!#REF!,0)))</f>
        <v>#REF!</v>
      </c>
      <c r="AB93" s="155" t="e">
        <f>IF(R93="-","",IF(ISERROR(INDEX('Inventaire M'!$A$2:$AD$9319,MATCH(R93,'Inventaire M'!$A:$A,0)-1,MATCH("poids",'Inventaire M'!#REF!,0))),"Sell",INDEX('Inventaire M'!$A$2:$AD$9319,MATCH(R93,'Inventaire M'!$A:$A,0)-1,MATCH("poids",'Inventaire M'!#REF!,0))))</f>
        <v>#REF!</v>
      </c>
      <c r="AC93" s="175"/>
      <c r="AD93" s="157" t="str">
        <f t="shared" si="9"/>
        <v>0</v>
      </c>
      <c r="AE93" s="98" t="str">
        <f t="shared" si="10"/>
        <v/>
      </c>
      <c r="AF93" s="80" t="e">
        <f t="shared" si="11"/>
        <v>#REF!</v>
      </c>
    </row>
    <row r="94" spans="2:32" outlineLevel="1">
      <c r="B94" s="175" t="e">
        <f>IF(OR('Inventaire M'!#REF!="Dispo/Liquidité Investie",'Inventaire M'!#REF!="Option/Future",'Inventaire M'!#REF!="TCN",'Inventaire M'!#REF!=""),"-",'Inventaire M'!#REF!)</f>
        <v>#REF!</v>
      </c>
      <c r="C94" s="175" t="e">
        <f>IF(OR('Inventaire M'!#REF!="Dispo/Liquidité Investie",'Inventaire M'!#REF!="Option/Future",'Inventaire M'!#REF!="TCN",'Inventaire M'!#REF!=""),"-",'Inventaire M'!#REF!)</f>
        <v>#REF!</v>
      </c>
      <c r="D94" s="175"/>
      <c r="E94" s="175" t="e">
        <f>IF(B94="-","",INDEX('Inventaire M'!$A$2:$AW$9305,MATCH(B94,'Inventaire M'!$A:$A,0)-1,MATCH("Cours EUR",'Inventaire M'!#REF!,0)))</f>
        <v>#REF!</v>
      </c>
      <c r="F94" s="175" t="e">
        <f>IF(B94="-","",IF(ISERROR(INDEX('Inventaire M-1'!$A$2:$AZ$9320,MATCH(B94,'Inventaire M-1'!$A:$A,0)-1,MATCH("Cours EUR",'Inventaire M-1'!#REF!,0))),"Buy",INDEX('Inventaire M-1'!$A$2:$AZ$9320,MATCH(B94,'Inventaire M-1'!$A:$A,0)-1,MATCH("Cours EUR",'Inventaire M-1'!#REF!,0))))</f>
        <v>#REF!</v>
      </c>
      <c r="G94" s="175"/>
      <c r="H94" s="156" t="e">
        <f>IF(B94="-","",INDEX('Inventaire M'!$A$2:$AW$9305,MATCH(B94,'Inventaire M'!$A:$A,0)-1,MATCH("quantite",'Inventaire M'!#REF!,0)))</f>
        <v>#REF!</v>
      </c>
      <c r="I94" s="156" t="e">
        <f>IF(C94="-","",IF(ISERROR(INDEX('Inventaire M-1'!$A$2:$AZ$9320,MATCH(B94,'Inventaire M-1'!$A:$A,0)-1,MATCH("quantite",'Inventaire M-1'!#REF!,0))),"Buy",INDEX('Inventaire M-1'!$A$2:$AZ$9320,MATCH(B94,'Inventaire M-1'!$A:$A,0)-1,MATCH("quantite",'Inventaire M-1'!#REF!,0))))</f>
        <v>#REF!</v>
      </c>
      <c r="J94" s="175"/>
      <c r="K94" s="155" t="e">
        <f>IF(B94="-","",INDEX('Inventaire M'!$A$2:$AW$9305,MATCH(B94,'Inventaire M'!$A:$A,0)-1,MATCH("poids",'Inventaire M'!#REF!,0)))</f>
        <v>#REF!</v>
      </c>
      <c r="L94" s="155" t="e">
        <f>IF(B94="-","",IF(ISERROR(INDEX('Inventaire M-1'!$A$2:$AZ$9320,MATCH(B94,'Inventaire M-1'!$A:$A,0)-1,MATCH("poids",'Inventaire M-1'!#REF!,0))),"Buy",INDEX('Inventaire M-1'!$A$2:$AZ$9320,MATCH(B94,'Inventaire M-1'!$A:$A,0)-1,MATCH("poids",'Inventaire M-1'!#REF!,0))))</f>
        <v>#REF!</v>
      </c>
      <c r="M94" s="175"/>
      <c r="N94" s="157" t="str">
        <f t="shared" si="6"/>
        <v>0</v>
      </c>
      <c r="O94" s="98" t="str">
        <f t="shared" si="7"/>
        <v/>
      </c>
      <c r="P94" s="80" t="e">
        <f t="shared" si="8"/>
        <v>#REF!</v>
      </c>
      <c r="Q94" s="75">
        <v>6.9999999999999998E-9</v>
      </c>
      <c r="R94" s="175" t="e">
        <f>IF(OR('Inventaire M-1'!#REF!="Dispo/Liquidité Investie",'Inventaire M-1'!#REF!="Option/Future",'Inventaire M-1'!#REF!="TCN",'Inventaire M-1'!#REF!=""),"-",'Inventaire M-1'!#REF!)</f>
        <v>#REF!</v>
      </c>
      <c r="S94" s="175" t="e">
        <f>IF(OR('Inventaire M-1'!#REF!="Dispo/Liquidité Investie",'Inventaire M-1'!#REF!="Option/Future",'Inventaire M-1'!#REF!="TCN",'Inventaire M-1'!#REF!=""),"-",'Inventaire M-1'!#REF!)</f>
        <v>#REF!</v>
      </c>
      <c r="T94" s="175"/>
      <c r="U94" s="175" t="e">
        <f>IF(R94="-","",INDEX('Inventaire M-1'!$A$2:$AG$9334,MATCH(R94,'Inventaire M-1'!$A:$A,0)-1,MATCH("Cours EUR",'Inventaire M-1'!#REF!,0)))</f>
        <v>#REF!</v>
      </c>
      <c r="V94" s="175" t="e">
        <f>IF(R94="-","",IF(ISERROR(INDEX('Inventaire M'!$A$2:$AD$9319,MATCH(R94,'Inventaire M'!$A:$A,0)-1,MATCH("Cours EUR",'Inventaire M'!#REF!,0))),"Sell",INDEX('Inventaire M'!$A$2:$AD$9319,MATCH(R94,'Inventaire M'!$A:$A,0)-1,MATCH("Cours EUR",'Inventaire M'!#REF!,0))))</f>
        <v>#REF!</v>
      </c>
      <c r="W94" s="175"/>
      <c r="X94" s="156" t="e">
        <f>IF(R94="-","",INDEX('Inventaire M-1'!$A$2:$AG$9334,MATCH(R94,'Inventaire M-1'!$A:$A,0)-1,MATCH("quantite",'Inventaire M-1'!#REF!,0)))</f>
        <v>#REF!</v>
      </c>
      <c r="Y94" s="156" t="e">
        <f>IF(S94="-","",IF(ISERROR(INDEX('Inventaire M'!$A$2:$AD$9319,MATCH(R94,'Inventaire M'!$A:$A,0)-1,MATCH("quantite",'Inventaire M'!#REF!,0))),"Sell",INDEX('Inventaire M'!$A$2:$AD$9319,MATCH(R94,'Inventaire M'!$A:$A,0)-1,MATCH("quantite",'Inventaire M'!#REF!,0))))</f>
        <v>#REF!</v>
      </c>
      <c r="Z94" s="175"/>
      <c r="AA94" s="155" t="e">
        <f>IF(R94="-","",INDEX('Inventaire M-1'!$A$2:$AG$9334,MATCH(R94,'Inventaire M-1'!$A:$A,0)-1,MATCH("poids",'Inventaire M-1'!#REF!,0)))</f>
        <v>#REF!</v>
      </c>
      <c r="AB94" s="155" t="e">
        <f>IF(R94="-","",IF(ISERROR(INDEX('Inventaire M'!$A$2:$AD$9319,MATCH(R94,'Inventaire M'!$A:$A,0)-1,MATCH("poids",'Inventaire M'!#REF!,0))),"Sell",INDEX('Inventaire M'!$A$2:$AD$9319,MATCH(R94,'Inventaire M'!$A:$A,0)-1,MATCH("poids",'Inventaire M'!#REF!,0))))</f>
        <v>#REF!</v>
      </c>
      <c r="AC94" s="175"/>
      <c r="AD94" s="157" t="str">
        <f t="shared" si="9"/>
        <v>0</v>
      </c>
      <c r="AE94" s="98" t="str">
        <f t="shared" si="10"/>
        <v/>
      </c>
      <c r="AF94" s="80" t="e">
        <f t="shared" si="11"/>
        <v>#REF!</v>
      </c>
    </row>
    <row r="95" spans="2:32" outlineLevel="1">
      <c r="B95" s="175" t="e">
        <f>IF(OR('Inventaire M'!#REF!="Dispo/Liquidité Investie",'Inventaire M'!#REF!="Option/Future",'Inventaire M'!#REF!="TCN",'Inventaire M'!#REF!=""),"-",'Inventaire M'!#REF!)</f>
        <v>#REF!</v>
      </c>
      <c r="C95" s="175" t="e">
        <f>IF(OR('Inventaire M'!#REF!="Dispo/Liquidité Investie",'Inventaire M'!#REF!="Option/Future",'Inventaire M'!#REF!="TCN",'Inventaire M'!#REF!=""),"-",'Inventaire M'!#REF!)</f>
        <v>#REF!</v>
      </c>
      <c r="D95" s="175"/>
      <c r="E95" s="175" t="e">
        <f>IF(B95="-","",INDEX('Inventaire M'!$A$2:$AW$9305,MATCH(B95,'Inventaire M'!$A:$A,0)-1,MATCH("Cours EUR",'Inventaire M'!#REF!,0)))</f>
        <v>#REF!</v>
      </c>
      <c r="F95" s="175" t="e">
        <f>IF(B95="-","",IF(ISERROR(INDEX('Inventaire M-1'!$A$2:$AZ$9320,MATCH(B95,'Inventaire M-1'!$A:$A,0)-1,MATCH("Cours EUR",'Inventaire M-1'!#REF!,0))),"Buy",INDEX('Inventaire M-1'!$A$2:$AZ$9320,MATCH(B95,'Inventaire M-1'!$A:$A,0)-1,MATCH("Cours EUR",'Inventaire M-1'!#REF!,0))))</f>
        <v>#REF!</v>
      </c>
      <c r="G95" s="175"/>
      <c r="H95" s="156" t="e">
        <f>IF(B95="-","",INDEX('Inventaire M'!$A$2:$AW$9305,MATCH(B95,'Inventaire M'!$A:$A,0)-1,MATCH("quantite",'Inventaire M'!#REF!,0)))</f>
        <v>#REF!</v>
      </c>
      <c r="I95" s="156" t="e">
        <f>IF(C95="-","",IF(ISERROR(INDEX('Inventaire M-1'!$A$2:$AZ$9320,MATCH(B95,'Inventaire M-1'!$A:$A,0)-1,MATCH("quantite",'Inventaire M-1'!#REF!,0))),"Buy",INDEX('Inventaire M-1'!$A$2:$AZ$9320,MATCH(B95,'Inventaire M-1'!$A:$A,0)-1,MATCH("quantite",'Inventaire M-1'!#REF!,0))))</f>
        <v>#REF!</v>
      </c>
      <c r="J95" s="175"/>
      <c r="K95" s="155" t="e">
        <f>IF(B95="-","",INDEX('Inventaire M'!$A$2:$AW$9305,MATCH(B95,'Inventaire M'!$A:$A,0)-1,MATCH("poids",'Inventaire M'!#REF!,0)))</f>
        <v>#REF!</v>
      </c>
      <c r="L95" s="155" t="e">
        <f>IF(B95="-","",IF(ISERROR(INDEX('Inventaire M-1'!$A$2:$AZ$9320,MATCH(B95,'Inventaire M-1'!$A:$A,0)-1,MATCH("poids",'Inventaire M-1'!#REF!,0))),"Buy",INDEX('Inventaire M-1'!$A$2:$AZ$9320,MATCH(B95,'Inventaire M-1'!$A:$A,0)-1,MATCH("poids",'Inventaire M-1'!#REF!,0))))</f>
        <v>#REF!</v>
      </c>
      <c r="M95" s="175"/>
      <c r="N95" s="157" t="str">
        <f t="shared" si="6"/>
        <v>0</v>
      </c>
      <c r="O95" s="98" t="str">
        <f t="shared" si="7"/>
        <v/>
      </c>
      <c r="P95" s="80" t="e">
        <f t="shared" si="8"/>
        <v>#REF!</v>
      </c>
      <c r="Q95" s="75">
        <v>7.0999999999999999E-9</v>
      </c>
      <c r="R95" s="175" t="e">
        <f>IF(OR('Inventaire M-1'!#REF!="Dispo/Liquidité Investie",'Inventaire M-1'!#REF!="Option/Future",'Inventaire M-1'!#REF!="TCN",'Inventaire M-1'!#REF!=""),"-",'Inventaire M-1'!#REF!)</f>
        <v>#REF!</v>
      </c>
      <c r="S95" s="175" t="e">
        <f>IF(OR('Inventaire M-1'!#REF!="Dispo/Liquidité Investie",'Inventaire M-1'!#REF!="Option/Future",'Inventaire M-1'!#REF!="TCN",'Inventaire M-1'!#REF!=""),"-",'Inventaire M-1'!#REF!)</f>
        <v>#REF!</v>
      </c>
      <c r="T95" s="175"/>
      <c r="U95" s="175" t="e">
        <f>IF(R95="-","",INDEX('Inventaire M-1'!$A$2:$AG$9334,MATCH(R95,'Inventaire M-1'!$A:$A,0)-1,MATCH("Cours EUR",'Inventaire M-1'!#REF!,0)))</f>
        <v>#REF!</v>
      </c>
      <c r="V95" s="175" t="e">
        <f>IF(R95="-","",IF(ISERROR(INDEX('Inventaire M'!$A$2:$AD$9319,MATCH(R95,'Inventaire M'!$A:$A,0)-1,MATCH("Cours EUR",'Inventaire M'!#REF!,0))),"Sell",INDEX('Inventaire M'!$A$2:$AD$9319,MATCH(R95,'Inventaire M'!$A:$A,0)-1,MATCH("Cours EUR",'Inventaire M'!#REF!,0))))</f>
        <v>#REF!</v>
      </c>
      <c r="W95" s="175"/>
      <c r="X95" s="156" t="e">
        <f>IF(R95="-","",INDEX('Inventaire M-1'!$A$2:$AG$9334,MATCH(R95,'Inventaire M-1'!$A:$A,0)-1,MATCH("quantite",'Inventaire M-1'!#REF!,0)))</f>
        <v>#REF!</v>
      </c>
      <c r="Y95" s="156" t="e">
        <f>IF(S95="-","",IF(ISERROR(INDEX('Inventaire M'!$A$2:$AD$9319,MATCH(R95,'Inventaire M'!$A:$A,0)-1,MATCH("quantite",'Inventaire M'!#REF!,0))),"Sell",INDEX('Inventaire M'!$A$2:$AD$9319,MATCH(R95,'Inventaire M'!$A:$A,0)-1,MATCH("quantite",'Inventaire M'!#REF!,0))))</f>
        <v>#REF!</v>
      </c>
      <c r="Z95" s="175"/>
      <c r="AA95" s="155" t="e">
        <f>IF(R95="-","",INDEX('Inventaire M-1'!$A$2:$AG$9334,MATCH(R95,'Inventaire M-1'!$A:$A,0)-1,MATCH("poids",'Inventaire M-1'!#REF!,0)))</f>
        <v>#REF!</v>
      </c>
      <c r="AB95" s="155" t="e">
        <f>IF(R95="-","",IF(ISERROR(INDEX('Inventaire M'!$A$2:$AD$9319,MATCH(R95,'Inventaire M'!$A:$A,0)-1,MATCH("poids",'Inventaire M'!#REF!,0))),"Sell",INDEX('Inventaire M'!$A$2:$AD$9319,MATCH(R95,'Inventaire M'!$A:$A,0)-1,MATCH("poids",'Inventaire M'!#REF!,0))))</f>
        <v>#REF!</v>
      </c>
      <c r="AC95" s="175"/>
      <c r="AD95" s="157" t="str">
        <f t="shared" si="9"/>
        <v>0</v>
      </c>
      <c r="AE95" s="98" t="str">
        <f t="shared" si="10"/>
        <v/>
      </c>
      <c r="AF95" s="80" t="e">
        <f t="shared" si="11"/>
        <v>#REF!</v>
      </c>
    </row>
    <row r="96" spans="2:32" outlineLevel="1">
      <c r="B96" s="175" t="e">
        <f>IF(OR('Inventaire M'!#REF!="Dispo/Liquidité Investie",'Inventaire M'!#REF!="Option/Future",'Inventaire M'!#REF!="TCN",'Inventaire M'!#REF!=""),"-",'Inventaire M'!#REF!)</f>
        <v>#REF!</v>
      </c>
      <c r="C96" s="175" t="e">
        <f>IF(OR('Inventaire M'!#REF!="Dispo/Liquidité Investie",'Inventaire M'!#REF!="Option/Future",'Inventaire M'!#REF!="TCN",'Inventaire M'!#REF!=""),"-",'Inventaire M'!#REF!)</f>
        <v>#REF!</v>
      </c>
      <c r="D96" s="175"/>
      <c r="E96" s="175" t="e">
        <f>IF(B96="-","",INDEX('Inventaire M'!$A$2:$AW$9305,MATCH(B96,'Inventaire M'!$A:$A,0)-1,MATCH("Cours EUR",'Inventaire M'!#REF!,0)))</f>
        <v>#REF!</v>
      </c>
      <c r="F96" s="175" t="e">
        <f>IF(B96="-","",IF(ISERROR(INDEX('Inventaire M-1'!$A$2:$AZ$9320,MATCH(B96,'Inventaire M-1'!$A:$A,0)-1,MATCH("Cours EUR",'Inventaire M-1'!#REF!,0))),"Buy",INDEX('Inventaire M-1'!$A$2:$AZ$9320,MATCH(B96,'Inventaire M-1'!$A:$A,0)-1,MATCH("Cours EUR",'Inventaire M-1'!#REF!,0))))</f>
        <v>#REF!</v>
      </c>
      <c r="G96" s="175"/>
      <c r="H96" s="156" t="e">
        <f>IF(B96="-","",INDEX('Inventaire M'!$A$2:$AW$9305,MATCH(B96,'Inventaire M'!$A:$A,0)-1,MATCH("quantite",'Inventaire M'!#REF!,0)))</f>
        <v>#REF!</v>
      </c>
      <c r="I96" s="156" t="e">
        <f>IF(C96="-","",IF(ISERROR(INDEX('Inventaire M-1'!$A$2:$AZ$9320,MATCH(B96,'Inventaire M-1'!$A:$A,0)-1,MATCH("quantite",'Inventaire M-1'!#REF!,0))),"Buy",INDEX('Inventaire M-1'!$A$2:$AZ$9320,MATCH(B96,'Inventaire M-1'!$A:$A,0)-1,MATCH("quantite",'Inventaire M-1'!#REF!,0))))</f>
        <v>#REF!</v>
      </c>
      <c r="J96" s="175"/>
      <c r="K96" s="155" t="e">
        <f>IF(B96="-","",INDEX('Inventaire M'!$A$2:$AW$9305,MATCH(B96,'Inventaire M'!$A:$A,0)-1,MATCH("poids",'Inventaire M'!#REF!,0)))</f>
        <v>#REF!</v>
      </c>
      <c r="L96" s="155" t="e">
        <f>IF(B96="-","",IF(ISERROR(INDEX('Inventaire M-1'!$A$2:$AZ$9320,MATCH(B96,'Inventaire M-1'!$A:$A,0)-1,MATCH("poids",'Inventaire M-1'!#REF!,0))),"Buy",INDEX('Inventaire M-1'!$A$2:$AZ$9320,MATCH(B96,'Inventaire M-1'!$A:$A,0)-1,MATCH("poids",'Inventaire M-1'!#REF!,0))))</f>
        <v>#REF!</v>
      </c>
      <c r="M96" s="175"/>
      <c r="N96" s="157" t="str">
        <f t="shared" si="6"/>
        <v>0</v>
      </c>
      <c r="O96" s="98" t="str">
        <f t="shared" si="7"/>
        <v/>
      </c>
      <c r="P96" s="80" t="e">
        <f t="shared" si="8"/>
        <v>#REF!</v>
      </c>
      <c r="Q96" s="75">
        <v>7.2E-9</v>
      </c>
      <c r="R96" s="175" t="e">
        <f>IF(OR('Inventaire M-1'!#REF!="Dispo/Liquidité Investie",'Inventaire M-1'!#REF!="Option/Future",'Inventaire M-1'!#REF!="TCN",'Inventaire M-1'!#REF!=""),"-",'Inventaire M-1'!#REF!)</f>
        <v>#REF!</v>
      </c>
      <c r="S96" s="175" t="e">
        <f>IF(OR('Inventaire M-1'!#REF!="Dispo/Liquidité Investie",'Inventaire M-1'!#REF!="Option/Future",'Inventaire M-1'!#REF!="TCN",'Inventaire M-1'!#REF!=""),"-",'Inventaire M-1'!#REF!)</f>
        <v>#REF!</v>
      </c>
      <c r="T96" s="175"/>
      <c r="U96" s="175" t="e">
        <f>IF(R96="-","",INDEX('Inventaire M-1'!$A$2:$AG$9334,MATCH(R96,'Inventaire M-1'!$A:$A,0)-1,MATCH("Cours EUR",'Inventaire M-1'!#REF!,0)))</f>
        <v>#REF!</v>
      </c>
      <c r="V96" s="175" t="e">
        <f>IF(R96="-","",IF(ISERROR(INDEX('Inventaire M'!$A$2:$AD$9319,MATCH(R96,'Inventaire M'!$A:$A,0)-1,MATCH("Cours EUR",'Inventaire M'!#REF!,0))),"Sell",INDEX('Inventaire M'!$A$2:$AD$9319,MATCH(R96,'Inventaire M'!$A:$A,0)-1,MATCH("Cours EUR",'Inventaire M'!#REF!,0))))</f>
        <v>#REF!</v>
      </c>
      <c r="W96" s="175"/>
      <c r="X96" s="156" t="e">
        <f>IF(R96="-","",INDEX('Inventaire M-1'!$A$2:$AG$9334,MATCH(R96,'Inventaire M-1'!$A:$A,0)-1,MATCH("quantite",'Inventaire M-1'!#REF!,0)))</f>
        <v>#REF!</v>
      </c>
      <c r="Y96" s="156" t="e">
        <f>IF(S96="-","",IF(ISERROR(INDEX('Inventaire M'!$A$2:$AD$9319,MATCH(R96,'Inventaire M'!$A:$A,0)-1,MATCH("quantite",'Inventaire M'!#REF!,0))),"Sell",INDEX('Inventaire M'!$A$2:$AD$9319,MATCH(R96,'Inventaire M'!$A:$A,0)-1,MATCH("quantite",'Inventaire M'!#REF!,0))))</f>
        <v>#REF!</v>
      </c>
      <c r="Z96" s="175"/>
      <c r="AA96" s="155" t="e">
        <f>IF(R96="-","",INDEX('Inventaire M-1'!$A$2:$AG$9334,MATCH(R96,'Inventaire M-1'!$A:$A,0)-1,MATCH("poids",'Inventaire M-1'!#REF!,0)))</f>
        <v>#REF!</v>
      </c>
      <c r="AB96" s="155" t="e">
        <f>IF(R96="-","",IF(ISERROR(INDEX('Inventaire M'!$A$2:$AD$9319,MATCH(R96,'Inventaire M'!$A:$A,0)-1,MATCH("poids",'Inventaire M'!#REF!,0))),"Sell",INDEX('Inventaire M'!$A$2:$AD$9319,MATCH(R96,'Inventaire M'!$A:$A,0)-1,MATCH("poids",'Inventaire M'!#REF!,0))))</f>
        <v>#REF!</v>
      </c>
      <c r="AC96" s="175"/>
      <c r="AD96" s="157" t="str">
        <f t="shared" si="9"/>
        <v>0</v>
      </c>
      <c r="AE96" s="98" t="str">
        <f t="shared" si="10"/>
        <v/>
      </c>
      <c r="AF96" s="80" t="e">
        <f t="shared" si="11"/>
        <v>#REF!</v>
      </c>
    </row>
    <row r="97" spans="2:32" outlineLevel="1">
      <c r="B97" s="175" t="e">
        <f>IF(OR('Inventaire M'!#REF!="Dispo/Liquidité Investie",'Inventaire M'!#REF!="Option/Future",'Inventaire M'!#REF!="TCN",'Inventaire M'!#REF!=""),"-",'Inventaire M'!#REF!)</f>
        <v>#REF!</v>
      </c>
      <c r="C97" s="175" t="e">
        <f>IF(OR('Inventaire M'!#REF!="Dispo/Liquidité Investie",'Inventaire M'!#REF!="Option/Future",'Inventaire M'!#REF!="TCN",'Inventaire M'!#REF!=""),"-",'Inventaire M'!#REF!)</f>
        <v>#REF!</v>
      </c>
      <c r="D97" s="175"/>
      <c r="E97" s="175" t="e">
        <f>IF(B97="-","",INDEX('Inventaire M'!$A$2:$AW$9305,MATCH(B97,'Inventaire M'!$A:$A,0)-1,MATCH("Cours EUR",'Inventaire M'!#REF!,0)))</f>
        <v>#REF!</v>
      </c>
      <c r="F97" s="175" t="e">
        <f>IF(B97="-","",IF(ISERROR(INDEX('Inventaire M-1'!$A$2:$AZ$9320,MATCH(B97,'Inventaire M-1'!$A:$A,0)-1,MATCH("Cours EUR",'Inventaire M-1'!#REF!,0))),"Buy",INDEX('Inventaire M-1'!$A$2:$AZ$9320,MATCH(B97,'Inventaire M-1'!$A:$A,0)-1,MATCH("Cours EUR",'Inventaire M-1'!#REF!,0))))</f>
        <v>#REF!</v>
      </c>
      <c r="G97" s="175"/>
      <c r="H97" s="156" t="e">
        <f>IF(B97="-","",INDEX('Inventaire M'!$A$2:$AW$9305,MATCH(B97,'Inventaire M'!$A:$A,0)-1,MATCH("quantite",'Inventaire M'!#REF!,0)))</f>
        <v>#REF!</v>
      </c>
      <c r="I97" s="156" t="e">
        <f>IF(C97="-","",IF(ISERROR(INDEX('Inventaire M-1'!$A$2:$AZ$9320,MATCH(B97,'Inventaire M-1'!$A:$A,0)-1,MATCH("quantite",'Inventaire M-1'!#REF!,0))),"Buy",INDEX('Inventaire M-1'!$A$2:$AZ$9320,MATCH(B97,'Inventaire M-1'!$A:$A,0)-1,MATCH("quantite",'Inventaire M-1'!#REF!,0))))</f>
        <v>#REF!</v>
      </c>
      <c r="J97" s="175"/>
      <c r="K97" s="155" t="e">
        <f>IF(B97="-","",INDEX('Inventaire M'!$A$2:$AW$9305,MATCH(B97,'Inventaire M'!$A:$A,0)-1,MATCH("poids",'Inventaire M'!#REF!,0)))</f>
        <v>#REF!</v>
      </c>
      <c r="L97" s="155" t="e">
        <f>IF(B97="-","",IF(ISERROR(INDEX('Inventaire M-1'!$A$2:$AZ$9320,MATCH(B97,'Inventaire M-1'!$A:$A,0)-1,MATCH("poids",'Inventaire M-1'!#REF!,0))),"Buy",INDEX('Inventaire M-1'!$A$2:$AZ$9320,MATCH(B97,'Inventaire M-1'!$A:$A,0)-1,MATCH("poids",'Inventaire M-1'!#REF!,0))))</f>
        <v>#REF!</v>
      </c>
      <c r="M97" s="175"/>
      <c r="N97" s="157" t="str">
        <f t="shared" si="6"/>
        <v>0</v>
      </c>
      <c r="O97" s="98" t="str">
        <f t="shared" si="7"/>
        <v/>
      </c>
      <c r="P97" s="80" t="e">
        <f t="shared" si="8"/>
        <v>#REF!</v>
      </c>
      <c r="Q97" s="75">
        <v>7.3E-9</v>
      </c>
      <c r="R97" s="175" t="e">
        <f>IF(OR('Inventaire M-1'!#REF!="Dispo/Liquidité Investie",'Inventaire M-1'!#REF!="Option/Future",'Inventaire M-1'!#REF!="TCN",'Inventaire M-1'!#REF!=""),"-",'Inventaire M-1'!#REF!)</f>
        <v>#REF!</v>
      </c>
      <c r="S97" s="175" t="e">
        <f>IF(OR('Inventaire M-1'!#REF!="Dispo/Liquidité Investie",'Inventaire M-1'!#REF!="Option/Future",'Inventaire M-1'!#REF!="TCN",'Inventaire M-1'!#REF!=""),"-",'Inventaire M-1'!#REF!)</f>
        <v>#REF!</v>
      </c>
      <c r="T97" s="175"/>
      <c r="U97" s="175" t="e">
        <f>IF(R97="-","",INDEX('Inventaire M-1'!$A$2:$AG$9334,MATCH(R97,'Inventaire M-1'!$A:$A,0)-1,MATCH("Cours EUR",'Inventaire M-1'!#REF!,0)))</f>
        <v>#REF!</v>
      </c>
      <c r="V97" s="175" t="e">
        <f>IF(R97="-","",IF(ISERROR(INDEX('Inventaire M'!$A$2:$AD$9319,MATCH(R97,'Inventaire M'!$A:$A,0)-1,MATCH("Cours EUR",'Inventaire M'!#REF!,0))),"Sell",INDEX('Inventaire M'!$A$2:$AD$9319,MATCH(R97,'Inventaire M'!$A:$A,0)-1,MATCH("Cours EUR",'Inventaire M'!#REF!,0))))</f>
        <v>#REF!</v>
      </c>
      <c r="W97" s="175"/>
      <c r="X97" s="156" t="e">
        <f>IF(R97="-","",INDEX('Inventaire M-1'!$A$2:$AG$9334,MATCH(R97,'Inventaire M-1'!$A:$A,0)-1,MATCH("quantite",'Inventaire M-1'!#REF!,0)))</f>
        <v>#REF!</v>
      </c>
      <c r="Y97" s="156" t="e">
        <f>IF(S97="-","",IF(ISERROR(INDEX('Inventaire M'!$A$2:$AD$9319,MATCH(R97,'Inventaire M'!$A:$A,0)-1,MATCH("quantite",'Inventaire M'!#REF!,0))),"Sell",INDEX('Inventaire M'!$A$2:$AD$9319,MATCH(R97,'Inventaire M'!$A:$A,0)-1,MATCH("quantite",'Inventaire M'!#REF!,0))))</f>
        <v>#REF!</v>
      </c>
      <c r="Z97" s="175"/>
      <c r="AA97" s="155" t="e">
        <f>IF(R97="-","",INDEX('Inventaire M-1'!$A$2:$AG$9334,MATCH(R97,'Inventaire M-1'!$A:$A,0)-1,MATCH("poids",'Inventaire M-1'!#REF!,0)))</f>
        <v>#REF!</v>
      </c>
      <c r="AB97" s="155" t="e">
        <f>IF(R97="-","",IF(ISERROR(INDEX('Inventaire M'!$A$2:$AD$9319,MATCH(R97,'Inventaire M'!$A:$A,0)-1,MATCH("poids",'Inventaire M'!#REF!,0))),"Sell",INDEX('Inventaire M'!$A$2:$AD$9319,MATCH(R97,'Inventaire M'!$A:$A,0)-1,MATCH("poids",'Inventaire M'!#REF!,0))))</f>
        <v>#REF!</v>
      </c>
      <c r="AC97" s="175"/>
      <c r="AD97" s="157" t="str">
        <f t="shared" si="9"/>
        <v>0</v>
      </c>
      <c r="AE97" s="98" t="str">
        <f t="shared" si="10"/>
        <v/>
      </c>
      <c r="AF97" s="80" t="e">
        <f t="shared" si="11"/>
        <v>#REF!</v>
      </c>
    </row>
    <row r="98" spans="2:32" outlineLevel="1">
      <c r="B98" s="175" t="e">
        <f>IF(OR('Inventaire M'!#REF!="Dispo/Liquidité Investie",'Inventaire M'!#REF!="Option/Future",'Inventaire M'!#REF!="TCN",'Inventaire M'!#REF!=""),"-",'Inventaire M'!#REF!)</f>
        <v>#REF!</v>
      </c>
      <c r="C98" s="175" t="e">
        <f>IF(OR('Inventaire M'!#REF!="Dispo/Liquidité Investie",'Inventaire M'!#REF!="Option/Future",'Inventaire M'!#REF!="TCN",'Inventaire M'!#REF!=""),"-",'Inventaire M'!#REF!)</f>
        <v>#REF!</v>
      </c>
      <c r="D98" s="175"/>
      <c r="E98" s="175" t="e">
        <f>IF(B98="-","",INDEX('Inventaire M'!$A$2:$AW$9305,MATCH(B98,'Inventaire M'!$A:$A,0)-1,MATCH("Cours EUR",'Inventaire M'!#REF!,0)))</f>
        <v>#REF!</v>
      </c>
      <c r="F98" s="175" t="e">
        <f>IF(B98="-","",IF(ISERROR(INDEX('Inventaire M-1'!$A$2:$AZ$9320,MATCH(B98,'Inventaire M-1'!$A:$A,0)-1,MATCH("Cours EUR",'Inventaire M-1'!#REF!,0))),"Buy",INDEX('Inventaire M-1'!$A$2:$AZ$9320,MATCH(B98,'Inventaire M-1'!$A:$A,0)-1,MATCH("Cours EUR",'Inventaire M-1'!#REF!,0))))</f>
        <v>#REF!</v>
      </c>
      <c r="G98" s="175"/>
      <c r="H98" s="156" t="e">
        <f>IF(B98="-","",INDEX('Inventaire M'!$A$2:$AW$9305,MATCH(B98,'Inventaire M'!$A:$A,0)-1,MATCH("quantite",'Inventaire M'!#REF!,0)))</f>
        <v>#REF!</v>
      </c>
      <c r="I98" s="156" t="e">
        <f>IF(C98="-","",IF(ISERROR(INDEX('Inventaire M-1'!$A$2:$AZ$9320,MATCH(B98,'Inventaire M-1'!$A:$A,0)-1,MATCH("quantite",'Inventaire M-1'!#REF!,0))),"Buy",INDEX('Inventaire M-1'!$A$2:$AZ$9320,MATCH(B98,'Inventaire M-1'!$A:$A,0)-1,MATCH("quantite",'Inventaire M-1'!#REF!,0))))</f>
        <v>#REF!</v>
      </c>
      <c r="J98" s="175"/>
      <c r="K98" s="155" t="e">
        <f>IF(B98="-","",INDEX('Inventaire M'!$A$2:$AW$9305,MATCH(B98,'Inventaire M'!$A:$A,0)-1,MATCH("poids",'Inventaire M'!#REF!,0)))</f>
        <v>#REF!</v>
      </c>
      <c r="L98" s="155" t="e">
        <f>IF(B98="-","",IF(ISERROR(INDEX('Inventaire M-1'!$A$2:$AZ$9320,MATCH(B98,'Inventaire M-1'!$A:$A,0)-1,MATCH("poids",'Inventaire M-1'!#REF!,0))),"Buy",INDEX('Inventaire M-1'!$A$2:$AZ$9320,MATCH(B98,'Inventaire M-1'!$A:$A,0)-1,MATCH("poids",'Inventaire M-1'!#REF!,0))))</f>
        <v>#REF!</v>
      </c>
      <c r="M98" s="175"/>
      <c r="N98" s="157" t="str">
        <f t="shared" si="6"/>
        <v>0</v>
      </c>
      <c r="O98" s="98" t="str">
        <f t="shared" si="7"/>
        <v/>
      </c>
      <c r="P98" s="80" t="e">
        <f t="shared" si="8"/>
        <v>#REF!</v>
      </c>
      <c r="Q98" s="75">
        <v>7.4000000000000001E-9</v>
      </c>
      <c r="R98" s="175" t="e">
        <f>IF(OR('Inventaire M-1'!#REF!="Dispo/Liquidité Investie",'Inventaire M-1'!#REF!="Option/Future",'Inventaire M-1'!#REF!="TCN",'Inventaire M-1'!#REF!=""),"-",'Inventaire M-1'!#REF!)</f>
        <v>#REF!</v>
      </c>
      <c r="S98" s="175" t="e">
        <f>IF(OR('Inventaire M-1'!#REF!="Dispo/Liquidité Investie",'Inventaire M-1'!#REF!="Option/Future",'Inventaire M-1'!#REF!="TCN",'Inventaire M-1'!#REF!=""),"-",'Inventaire M-1'!#REF!)</f>
        <v>#REF!</v>
      </c>
      <c r="T98" s="175"/>
      <c r="U98" s="175" t="e">
        <f>IF(R98="-","",INDEX('Inventaire M-1'!$A$2:$AG$9334,MATCH(R98,'Inventaire M-1'!$A:$A,0)-1,MATCH("Cours EUR",'Inventaire M-1'!#REF!,0)))</f>
        <v>#REF!</v>
      </c>
      <c r="V98" s="175" t="e">
        <f>IF(R98="-","",IF(ISERROR(INDEX('Inventaire M'!$A$2:$AD$9319,MATCH(R98,'Inventaire M'!$A:$A,0)-1,MATCH("Cours EUR",'Inventaire M'!#REF!,0))),"Sell",INDEX('Inventaire M'!$A$2:$AD$9319,MATCH(R98,'Inventaire M'!$A:$A,0)-1,MATCH("Cours EUR",'Inventaire M'!#REF!,0))))</f>
        <v>#REF!</v>
      </c>
      <c r="W98" s="175"/>
      <c r="X98" s="156" t="e">
        <f>IF(R98="-","",INDEX('Inventaire M-1'!$A$2:$AG$9334,MATCH(R98,'Inventaire M-1'!$A:$A,0)-1,MATCH("quantite",'Inventaire M-1'!#REF!,0)))</f>
        <v>#REF!</v>
      </c>
      <c r="Y98" s="156" t="e">
        <f>IF(S98="-","",IF(ISERROR(INDEX('Inventaire M'!$A$2:$AD$9319,MATCH(R98,'Inventaire M'!$A:$A,0)-1,MATCH("quantite",'Inventaire M'!#REF!,0))),"Sell",INDEX('Inventaire M'!$A$2:$AD$9319,MATCH(R98,'Inventaire M'!$A:$A,0)-1,MATCH("quantite",'Inventaire M'!#REF!,0))))</f>
        <v>#REF!</v>
      </c>
      <c r="Z98" s="175"/>
      <c r="AA98" s="155" t="e">
        <f>IF(R98="-","",INDEX('Inventaire M-1'!$A$2:$AG$9334,MATCH(R98,'Inventaire M-1'!$A:$A,0)-1,MATCH("poids",'Inventaire M-1'!#REF!,0)))</f>
        <v>#REF!</v>
      </c>
      <c r="AB98" s="155" t="e">
        <f>IF(R98="-","",IF(ISERROR(INDEX('Inventaire M'!$A$2:$AD$9319,MATCH(R98,'Inventaire M'!$A:$A,0)-1,MATCH("poids",'Inventaire M'!#REF!,0))),"Sell",INDEX('Inventaire M'!$A$2:$AD$9319,MATCH(R98,'Inventaire M'!$A:$A,0)-1,MATCH("poids",'Inventaire M'!#REF!,0))))</f>
        <v>#REF!</v>
      </c>
      <c r="AC98" s="175"/>
      <c r="AD98" s="157" t="str">
        <f t="shared" si="9"/>
        <v>0</v>
      </c>
      <c r="AE98" s="98" t="str">
        <f t="shared" si="10"/>
        <v/>
      </c>
      <c r="AF98" s="80" t="e">
        <f t="shared" si="11"/>
        <v>#REF!</v>
      </c>
    </row>
    <row r="99" spans="2:32" outlineLevel="1">
      <c r="B99" s="175" t="e">
        <f>IF(OR('Inventaire M'!#REF!="Dispo/Liquidité Investie",'Inventaire M'!#REF!="Option/Future",'Inventaire M'!#REF!="TCN",'Inventaire M'!#REF!=""),"-",'Inventaire M'!#REF!)</f>
        <v>#REF!</v>
      </c>
      <c r="C99" s="175" t="e">
        <f>IF(OR('Inventaire M'!#REF!="Dispo/Liquidité Investie",'Inventaire M'!#REF!="Option/Future",'Inventaire M'!#REF!="TCN",'Inventaire M'!#REF!=""),"-",'Inventaire M'!#REF!)</f>
        <v>#REF!</v>
      </c>
      <c r="D99" s="175"/>
      <c r="E99" s="175" t="e">
        <f>IF(B99="-","",INDEX('Inventaire M'!$A$2:$AW$9305,MATCH(B99,'Inventaire M'!$A:$A,0)-1,MATCH("Cours EUR",'Inventaire M'!#REF!,0)))</f>
        <v>#REF!</v>
      </c>
      <c r="F99" s="175" t="e">
        <f>IF(B99="-","",IF(ISERROR(INDEX('Inventaire M-1'!$A$2:$AZ$9320,MATCH(B99,'Inventaire M-1'!$A:$A,0)-1,MATCH("Cours EUR",'Inventaire M-1'!#REF!,0))),"Buy",INDEX('Inventaire M-1'!$A$2:$AZ$9320,MATCH(B99,'Inventaire M-1'!$A:$A,0)-1,MATCH("Cours EUR",'Inventaire M-1'!#REF!,0))))</f>
        <v>#REF!</v>
      </c>
      <c r="G99" s="175"/>
      <c r="H99" s="156" t="e">
        <f>IF(B99="-","",INDEX('Inventaire M'!$A$2:$AW$9305,MATCH(B99,'Inventaire M'!$A:$A,0)-1,MATCH("quantite",'Inventaire M'!#REF!,0)))</f>
        <v>#REF!</v>
      </c>
      <c r="I99" s="156" t="e">
        <f>IF(C99="-","",IF(ISERROR(INDEX('Inventaire M-1'!$A$2:$AZ$9320,MATCH(B99,'Inventaire M-1'!$A:$A,0)-1,MATCH("quantite",'Inventaire M-1'!#REF!,0))),"Buy",INDEX('Inventaire M-1'!$A$2:$AZ$9320,MATCH(B99,'Inventaire M-1'!$A:$A,0)-1,MATCH("quantite",'Inventaire M-1'!#REF!,0))))</f>
        <v>#REF!</v>
      </c>
      <c r="J99" s="175"/>
      <c r="K99" s="155" t="e">
        <f>IF(B99="-","",INDEX('Inventaire M'!$A$2:$AW$9305,MATCH(B99,'Inventaire M'!$A:$A,0)-1,MATCH("poids",'Inventaire M'!#REF!,0)))</f>
        <v>#REF!</v>
      </c>
      <c r="L99" s="155" t="e">
        <f>IF(B99="-","",IF(ISERROR(INDEX('Inventaire M-1'!$A$2:$AZ$9320,MATCH(B99,'Inventaire M-1'!$A:$A,0)-1,MATCH("poids",'Inventaire M-1'!#REF!,0))),"Buy",INDEX('Inventaire M-1'!$A$2:$AZ$9320,MATCH(B99,'Inventaire M-1'!$A:$A,0)-1,MATCH("poids",'Inventaire M-1'!#REF!,0))))</f>
        <v>#REF!</v>
      </c>
      <c r="M99" s="175"/>
      <c r="N99" s="157" t="str">
        <f t="shared" si="6"/>
        <v>0</v>
      </c>
      <c r="O99" s="98" t="str">
        <f t="shared" si="7"/>
        <v/>
      </c>
      <c r="P99" s="80" t="e">
        <f t="shared" si="8"/>
        <v>#REF!</v>
      </c>
      <c r="Q99" s="75">
        <v>7.4999999999999993E-9</v>
      </c>
      <c r="R99" s="175" t="e">
        <f>IF(OR('Inventaire M-1'!#REF!="Dispo/Liquidité Investie",'Inventaire M-1'!#REF!="Option/Future",'Inventaire M-1'!#REF!="TCN",'Inventaire M-1'!#REF!=""),"-",'Inventaire M-1'!#REF!)</f>
        <v>#REF!</v>
      </c>
      <c r="S99" s="175" t="e">
        <f>IF(OR('Inventaire M-1'!#REF!="Dispo/Liquidité Investie",'Inventaire M-1'!#REF!="Option/Future",'Inventaire M-1'!#REF!="TCN",'Inventaire M-1'!#REF!=""),"-",'Inventaire M-1'!#REF!)</f>
        <v>#REF!</v>
      </c>
      <c r="T99" s="175"/>
      <c r="U99" s="175" t="e">
        <f>IF(R99="-","",INDEX('Inventaire M-1'!$A$2:$AG$9334,MATCH(R99,'Inventaire M-1'!$A:$A,0)-1,MATCH("Cours EUR",'Inventaire M-1'!#REF!,0)))</f>
        <v>#REF!</v>
      </c>
      <c r="V99" s="175" t="e">
        <f>IF(R99="-","",IF(ISERROR(INDEX('Inventaire M'!$A$2:$AD$9319,MATCH(R99,'Inventaire M'!$A:$A,0)-1,MATCH("Cours EUR",'Inventaire M'!#REF!,0))),"Sell",INDEX('Inventaire M'!$A$2:$AD$9319,MATCH(R99,'Inventaire M'!$A:$A,0)-1,MATCH("Cours EUR",'Inventaire M'!#REF!,0))))</f>
        <v>#REF!</v>
      </c>
      <c r="W99" s="175"/>
      <c r="X99" s="156" t="e">
        <f>IF(R99="-","",INDEX('Inventaire M-1'!$A$2:$AG$9334,MATCH(R99,'Inventaire M-1'!$A:$A,0)-1,MATCH("quantite",'Inventaire M-1'!#REF!,0)))</f>
        <v>#REF!</v>
      </c>
      <c r="Y99" s="156" t="e">
        <f>IF(S99="-","",IF(ISERROR(INDEX('Inventaire M'!$A$2:$AD$9319,MATCH(R99,'Inventaire M'!$A:$A,0)-1,MATCH("quantite",'Inventaire M'!#REF!,0))),"Sell",INDEX('Inventaire M'!$A$2:$AD$9319,MATCH(R99,'Inventaire M'!$A:$A,0)-1,MATCH("quantite",'Inventaire M'!#REF!,0))))</f>
        <v>#REF!</v>
      </c>
      <c r="Z99" s="175"/>
      <c r="AA99" s="155" t="e">
        <f>IF(R99="-","",INDEX('Inventaire M-1'!$A$2:$AG$9334,MATCH(R99,'Inventaire M-1'!$A:$A,0)-1,MATCH("poids",'Inventaire M-1'!#REF!,0)))</f>
        <v>#REF!</v>
      </c>
      <c r="AB99" s="155" t="e">
        <f>IF(R99="-","",IF(ISERROR(INDEX('Inventaire M'!$A$2:$AD$9319,MATCH(R99,'Inventaire M'!$A:$A,0)-1,MATCH("poids",'Inventaire M'!#REF!,0))),"Sell",INDEX('Inventaire M'!$A$2:$AD$9319,MATCH(R99,'Inventaire M'!$A:$A,0)-1,MATCH("poids",'Inventaire M'!#REF!,0))))</f>
        <v>#REF!</v>
      </c>
      <c r="AC99" s="175"/>
      <c r="AD99" s="157" t="str">
        <f t="shared" si="9"/>
        <v>0</v>
      </c>
      <c r="AE99" s="98" t="str">
        <f t="shared" si="10"/>
        <v/>
      </c>
      <c r="AF99" s="80" t="e">
        <f t="shared" si="11"/>
        <v>#REF!</v>
      </c>
    </row>
    <row r="100" spans="2:32" outlineLevel="1">
      <c r="B100" s="175" t="e">
        <f>IF(OR('Inventaire M'!#REF!="Dispo/Liquidité Investie",'Inventaire M'!#REF!="Option/Future",'Inventaire M'!#REF!="TCN",'Inventaire M'!#REF!=""),"-",'Inventaire M'!#REF!)</f>
        <v>#REF!</v>
      </c>
      <c r="C100" s="175" t="e">
        <f>IF(OR('Inventaire M'!#REF!="Dispo/Liquidité Investie",'Inventaire M'!#REF!="Option/Future",'Inventaire M'!#REF!="TCN",'Inventaire M'!#REF!=""),"-",'Inventaire M'!#REF!)</f>
        <v>#REF!</v>
      </c>
      <c r="D100" s="175"/>
      <c r="E100" s="175" t="e">
        <f>IF(B100="-","",INDEX('Inventaire M'!$A$2:$AW$9305,MATCH(B100,'Inventaire M'!$A:$A,0)-1,MATCH("Cours EUR",'Inventaire M'!#REF!,0)))</f>
        <v>#REF!</v>
      </c>
      <c r="F100" s="175" t="e">
        <f>IF(B100="-","",IF(ISERROR(INDEX('Inventaire M-1'!$A$2:$AZ$9320,MATCH(B100,'Inventaire M-1'!$A:$A,0)-1,MATCH("Cours EUR",'Inventaire M-1'!#REF!,0))),"Buy",INDEX('Inventaire M-1'!$A$2:$AZ$9320,MATCH(B100,'Inventaire M-1'!$A:$A,0)-1,MATCH("Cours EUR",'Inventaire M-1'!#REF!,0))))</f>
        <v>#REF!</v>
      </c>
      <c r="G100" s="175"/>
      <c r="H100" s="156" t="e">
        <f>IF(B100="-","",INDEX('Inventaire M'!$A$2:$AW$9305,MATCH(B100,'Inventaire M'!$A:$A,0)-1,MATCH("quantite",'Inventaire M'!#REF!,0)))</f>
        <v>#REF!</v>
      </c>
      <c r="I100" s="156" t="e">
        <f>IF(C100="-","",IF(ISERROR(INDEX('Inventaire M-1'!$A$2:$AZ$9320,MATCH(B100,'Inventaire M-1'!$A:$A,0)-1,MATCH("quantite",'Inventaire M-1'!#REF!,0))),"Buy",INDEX('Inventaire M-1'!$A$2:$AZ$9320,MATCH(B100,'Inventaire M-1'!$A:$A,0)-1,MATCH("quantite",'Inventaire M-1'!#REF!,0))))</f>
        <v>#REF!</v>
      </c>
      <c r="J100" s="175"/>
      <c r="K100" s="155" t="e">
        <f>IF(B100="-","",INDEX('Inventaire M'!$A$2:$AW$9305,MATCH(B100,'Inventaire M'!$A:$A,0)-1,MATCH("poids",'Inventaire M'!#REF!,0)))</f>
        <v>#REF!</v>
      </c>
      <c r="L100" s="155" t="e">
        <f>IF(B100="-","",IF(ISERROR(INDEX('Inventaire M-1'!$A$2:$AZ$9320,MATCH(B100,'Inventaire M-1'!$A:$A,0)-1,MATCH("poids",'Inventaire M-1'!#REF!,0))),"Buy",INDEX('Inventaire M-1'!$A$2:$AZ$9320,MATCH(B100,'Inventaire M-1'!$A:$A,0)-1,MATCH("poids",'Inventaire M-1'!#REF!,0))))</f>
        <v>#REF!</v>
      </c>
      <c r="M100" s="175"/>
      <c r="N100" s="157" t="str">
        <f t="shared" si="6"/>
        <v>0</v>
      </c>
      <c r="O100" s="98" t="str">
        <f t="shared" si="7"/>
        <v/>
      </c>
      <c r="P100" s="80" t="e">
        <f t="shared" si="8"/>
        <v>#REF!</v>
      </c>
      <c r="Q100" s="75">
        <v>7.6000000000000002E-9</v>
      </c>
      <c r="R100" s="175" t="e">
        <f>IF(OR('Inventaire M-1'!#REF!="Dispo/Liquidité Investie",'Inventaire M-1'!#REF!="Option/Future",'Inventaire M-1'!#REF!="TCN",'Inventaire M-1'!#REF!=""),"-",'Inventaire M-1'!#REF!)</f>
        <v>#REF!</v>
      </c>
      <c r="S100" s="175" t="e">
        <f>IF(OR('Inventaire M-1'!#REF!="Dispo/Liquidité Investie",'Inventaire M-1'!#REF!="Option/Future",'Inventaire M-1'!#REF!="TCN",'Inventaire M-1'!#REF!=""),"-",'Inventaire M-1'!#REF!)</f>
        <v>#REF!</v>
      </c>
      <c r="T100" s="175"/>
      <c r="U100" s="175" t="e">
        <f>IF(R100="-","",INDEX('Inventaire M-1'!$A$2:$AG$9334,MATCH(R100,'Inventaire M-1'!$A:$A,0)-1,MATCH("Cours EUR",'Inventaire M-1'!#REF!,0)))</f>
        <v>#REF!</v>
      </c>
      <c r="V100" s="175" t="e">
        <f>IF(R100="-","",IF(ISERROR(INDEX('Inventaire M'!$A$2:$AD$9319,MATCH(R100,'Inventaire M'!$A:$A,0)-1,MATCH("Cours EUR",'Inventaire M'!#REF!,0))),"Sell",INDEX('Inventaire M'!$A$2:$AD$9319,MATCH(R100,'Inventaire M'!$A:$A,0)-1,MATCH("Cours EUR",'Inventaire M'!#REF!,0))))</f>
        <v>#REF!</v>
      </c>
      <c r="W100" s="175"/>
      <c r="X100" s="156" t="e">
        <f>IF(R100="-","",INDEX('Inventaire M-1'!$A$2:$AG$9334,MATCH(R100,'Inventaire M-1'!$A:$A,0)-1,MATCH("quantite",'Inventaire M-1'!#REF!,0)))</f>
        <v>#REF!</v>
      </c>
      <c r="Y100" s="156" t="e">
        <f>IF(S100="-","",IF(ISERROR(INDEX('Inventaire M'!$A$2:$AD$9319,MATCH(R100,'Inventaire M'!$A:$A,0)-1,MATCH("quantite",'Inventaire M'!#REF!,0))),"Sell",INDEX('Inventaire M'!$A$2:$AD$9319,MATCH(R100,'Inventaire M'!$A:$A,0)-1,MATCH("quantite",'Inventaire M'!#REF!,0))))</f>
        <v>#REF!</v>
      </c>
      <c r="Z100" s="175"/>
      <c r="AA100" s="155" t="e">
        <f>IF(R100="-","",INDEX('Inventaire M-1'!$A$2:$AG$9334,MATCH(R100,'Inventaire M-1'!$A:$A,0)-1,MATCH("poids",'Inventaire M-1'!#REF!,0)))</f>
        <v>#REF!</v>
      </c>
      <c r="AB100" s="155" t="e">
        <f>IF(R100="-","",IF(ISERROR(INDEX('Inventaire M'!$A$2:$AD$9319,MATCH(R100,'Inventaire M'!$A:$A,0)-1,MATCH("poids",'Inventaire M'!#REF!,0))),"Sell",INDEX('Inventaire M'!$A$2:$AD$9319,MATCH(R100,'Inventaire M'!$A:$A,0)-1,MATCH("poids",'Inventaire M'!#REF!,0))))</f>
        <v>#REF!</v>
      </c>
      <c r="AC100" s="175"/>
      <c r="AD100" s="157" t="str">
        <f t="shared" si="9"/>
        <v>0</v>
      </c>
      <c r="AE100" s="98" t="str">
        <f t="shared" si="10"/>
        <v/>
      </c>
      <c r="AF100" s="80" t="e">
        <f t="shared" si="11"/>
        <v>#REF!</v>
      </c>
    </row>
    <row r="101" spans="2:32" outlineLevel="1">
      <c r="B101" s="175" t="e">
        <f>IF(OR('Inventaire M'!#REF!="Dispo/Liquidité Investie",'Inventaire M'!#REF!="Option/Future",'Inventaire M'!#REF!="TCN",'Inventaire M'!#REF!=""),"-",'Inventaire M'!#REF!)</f>
        <v>#REF!</v>
      </c>
      <c r="C101" s="175" t="e">
        <f>IF(OR('Inventaire M'!#REF!="Dispo/Liquidité Investie",'Inventaire M'!#REF!="Option/Future",'Inventaire M'!#REF!="TCN",'Inventaire M'!#REF!=""),"-",'Inventaire M'!#REF!)</f>
        <v>#REF!</v>
      </c>
      <c r="D101" s="175"/>
      <c r="E101" s="175" t="e">
        <f>IF(B101="-","",INDEX('Inventaire M'!$A$2:$AW$9305,MATCH(B101,'Inventaire M'!$A:$A,0)-1,MATCH("Cours EUR",'Inventaire M'!#REF!,0)))</f>
        <v>#REF!</v>
      </c>
      <c r="F101" s="175" t="e">
        <f>IF(B101="-","",IF(ISERROR(INDEX('Inventaire M-1'!$A$2:$AZ$9320,MATCH(B101,'Inventaire M-1'!$A:$A,0)-1,MATCH("Cours EUR",'Inventaire M-1'!#REF!,0))),"Buy",INDEX('Inventaire M-1'!$A$2:$AZ$9320,MATCH(B101,'Inventaire M-1'!$A:$A,0)-1,MATCH("Cours EUR",'Inventaire M-1'!#REF!,0))))</f>
        <v>#REF!</v>
      </c>
      <c r="G101" s="175"/>
      <c r="H101" s="156" t="e">
        <f>IF(B101="-","",INDEX('Inventaire M'!$A$2:$AW$9305,MATCH(B101,'Inventaire M'!$A:$A,0)-1,MATCH("quantite",'Inventaire M'!#REF!,0)))</f>
        <v>#REF!</v>
      </c>
      <c r="I101" s="156" t="e">
        <f>IF(C101="-","",IF(ISERROR(INDEX('Inventaire M-1'!$A$2:$AZ$9320,MATCH(B101,'Inventaire M-1'!$A:$A,0)-1,MATCH("quantite",'Inventaire M-1'!#REF!,0))),"Buy",INDEX('Inventaire M-1'!$A$2:$AZ$9320,MATCH(B101,'Inventaire M-1'!$A:$A,0)-1,MATCH("quantite",'Inventaire M-1'!#REF!,0))))</f>
        <v>#REF!</v>
      </c>
      <c r="J101" s="175"/>
      <c r="K101" s="155" t="e">
        <f>IF(B101="-","",INDEX('Inventaire M'!$A$2:$AW$9305,MATCH(B101,'Inventaire M'!$A:$A,0)-1,MATCH("poids",'Inventaire M'!#REF!,0)))</f>
        <v>#REF!</v>
      </c>
      <c r="L101" s="155" t="e">
        <f>IF(B101="-","",IF(ISERROR(INDEX('Inventaire M-1'!$A$2:$AZ$9320,MATCH(B101,'Inventaire M-1'!$A:$A,0)-1,MATCH("poids",'Inventaire M-1'!#REF!,0))),"Buy",INDEX('Inventaire M-1'!$A$2:$AZ$9320,MATCH(B101,'Inventaire M-1'!$A:$A,0)-1,MATCH("poids",'Inventaire M-1'!#REF!,0))))</f>
        <v>#REF!</v>
      </c>
      <c r="M101" s="175"/>
      <c r="N101" s="157" t="str">
        <f t="shared" si="6"/>
        <v>0</v>
      </c>
      <c r="O101" s="98" t="str">
        <f t="shared" si="7"/>
        <v/>
      </c>
      <c r="P101" s="80" t="e">
        <f t="shared" si="8"/>
        <v>#REF!</v>
      </c>
      <c r="Q101" s="75">
        <v>7.6999999999999995E-9</v>
      </c>
      <c r="R101" s="175" t="e">
        <f>IF(OR('Inventaire M-1'!#REF!="Dispo/Liquidité Investie",'Inventaire M-1'!#REF!="Option/Future",'Inventaire M-1'!#REF!="TCN",'Inventaire M-1'!#REF!=""),"-",'Inventaire M-1'!#REF!)</f>
        <v>#REF!</v>
      </c>
      <c r="S101" s="175" t="e">
        <f>IF(OR('Inventaire M-1'!#REF!="Dispo/Liquidité Investie",'Inventaire M-1'!#REF!="Option/Future",'Inventaire M-1'!#REF!="TCN",'Inventaire M-1'!#REF!=""),"-",'Inventaire M-1'!#REF!)</f>
        <v>#REF!</v>
      </c>
      <c r="T101" s="175"/>
      <c r="U101" s="175" t="e">
        <f>IF(R101="-","",INDEX('Inventaire M-1'!$A$2:$AG$9334,MATCH(R101,'Inventaire M-1'!$A:$A,0)-1,MATCH("Cours EUR",'Inventaire M-1'!#REF!,0)))</f>
        <v>#REF!</v>
      </c>
      <c r="V101" s="175" t="e">
        <f>IF(R101="-","",IF(ISERROR(INDEX('Inventaire M'!$A$2:$AD$9319,MATCH(R101,'Inventaire M'!$A:$A,0)-1,MATCH("Cours EUR",'Inventaire M'!#REF!,0))),"Sell",INDEX('Inventaire M'!$A$2:$AD$9319,MATCH(R101,'Inventaire M'!$A:$A,0)-1,MATCH("Cours EUR",'Inventaire M'!#REF!,0))))</f>
        <v>#REF!</v>
      </c>
      <c r="W101" s="175"/>
      <c r="X101" s="156" t="e">
        <f>IF(R101="-","",INDEX('Inventaire M-1'!$A$2:$AG$9334,MATCH(R101,'Inventaire M-1'!$A:$A,0)-1,MATCH("quantite",'Inventaire M-1'!#REF!,0)))</f>
        <v>#REF!</v>
      </c>
      <c r="Y101" s="156" t="e">
        <f>IF(S101="-","",IF(ISERROR(INDEX('Inventaire M'!$A$2:$AD$9319,MATCH(R101,'Inventaire M'!$A:$A,0)-1,MATCH("quantite",'Inventaire M'!#REF!,0))),"Sell",INDEX('Inventaire M'!$A$2:$AD$9319,MATCH(R101,'Inventaire M'!$A:$A,0)-1,MATCH("quantite",'Inventaire M'!#REF!,0))))</f>
        <v>#REF!</v>
      </c>
      <c r="Z101" s="175"/>
      <c r="AA101" s="155" t="e">
        <f>IF(R101="-","",INDEX('Inventaire M-1'!$A$2:$AG$9334,MATCH(R101,'Inventaire M-1'!$A:$A,0)-1,MATCH("poids",'Inventaire M-1'!#REF!,0)))</f>
        <v>#REF!</v>
      </c>
      <c r="AB101" s="155" t="e">
        <f>IF(R101="-","",IF(ISERROR(INDEX('Inventaire M'!$A$2:$AD$9319,MATCH(R101,'Inventaire M'!$A:$A,0)-1,MATCH("poids",'Inventaire M'!#REF!,0))),"Sell",INDEX('Inventaire M'!$A$2:$AD$9319,MATCH(R101,'Inventaire M'!$A:$A,0)-1,MATCH("poids",'Inventaire M'!#REF!,0))))</f>
        <v>#REF!</v>
      </c>
      <c r="AC101" s="175"/>
      <c r="AD101" s="157" t="str">
        <f t="shared" si="9"/>
        <v>0</v>
      </c>
      <c r="AE101" s="98" t="str">
        <f t="shared" si="10"/>
        <v/>
      </c>
      <c r="AF101" s="80" t="e">
        <f t="shared" si="11"/>
        <v>#REF!</v>
      </c>
    </row>
    <row r="102" spans="2:32" outlineLevel="1">
      <c r="B102" s="175" t="e">
        <f>IF(OR('Inventaire M'!#REF!="Dispo/Liquidité Investie",'Inventaire M'!#REF!="Option/Future",'Inventaire M'!#REF!="TCN",'Inventaire M'!#REF!=""),"-",'Inventaire M'!#REF!)</f>
        <v>#REF!</v>
      </c>
      <c r="C102" s="175" t="e">
        <f>IF(OR('Inventaire M'!#REF!="Dispo/Liquidité Investie",'Inventaire M'!#REF!="Option/Future",'Inventaire M'!#REF!="TCN",'Inventaire M'!#REF!=""),"-",'Inventaire M'!#REF!)</f>
        <v>#REF!</v>
      </c>
      <c r="D102" s="175"/>
      <c r="E102" s="175" t="e">
        <f>IF(B102="-","",INDEX('Inventaire M'!$A$2:$AW$9305,MATCH(B102,'Inventaire M'!$A:$A,0)-1,MATCH("Cours EUR",'Inventaire M'!#REF!,0)))</f>
        <v>#REF!</v>
      </c>
      <c r="F102" s="175" t="e">
        <f>IF(B102="-","",IF(ISERROR(INDEX('Inventaire M-1'!$A$2:$AZ$9320,MATCH(B102,'Inventaire M-1'!$A:$A,0)-1,MATCH("Cours EUR",'Inventaire M-1'!#REF!,0))),"Buy",INDEX('Inventaire M-1'!$A$2:$AZ$9320,MATCH(B102,'Inventaire M-1'!$A:$A,0)-1,MATCH("Cours EUR",'Inventaire M-1'!#REF!,0))))</f>
        <v>#REF!</v>
      </c>
      <c r="G102" s="175"/>
      <c r="H102" s="156" t="e">
        <f>IF(B102="-","",INDEX('Inventaire M'!$A$2:$AW$9305,MATCH(B102,'Inventaire M'!$A:$A,0)-1,MATCH("quantite",'Inventaire M'!#REF!,0)))</f>
        <v>#REF!</v>
      </c>
      <c r="I102" s="156" t="e">
        <f>IF(C102="-","",IF(ISERROR(INDEX('Inventaire M-1'!$A$2:$AZ$9320,MATCH(B102,'Inventaire M-1'!$A:$A,0)-1,MATCH("quantite",'Inventaire M-1'!#REF!,0))),"Buy",INDEX('Inventaire M-1'!$A$2:$AZ$9320,MATCH(B102,'Inventaire M-1'!$A:$A,0)-1,MATCH("quantite",'Inventaire M-1'!#REF!,0))))</f>
        <v>#REF!</v>
      </c>
      <c r="J102" s="175"/>
      <c r="K102" s="155" t="e">
        <f>IF(B102="-","",INDEX('Inventaire M'!$A$2:$AW$9305,MATCH(B102,'Inventaire M'!$A:$A,0)-1,MATCH("poids",'Inventaire M'!#REF!,0)))</f>
        <v>#REF!</v>
      </c>
      <c r="L102" s="155" t="e">
        <f>IF(B102="-","",IF(ISERROR(INDEX('Inventaire M-1'!$A$2:$AZ$9320,MATCH(B102,'Inventaire M-1'!$A:$A,0)-1,MATCH("poids",'Inventaire M-1'!#REF!,0))),"Buy",INDEX('Inventaire M-1'!$A$2:$AZ$9320,MATCH(B102,'Inventaire M-1'!$A:$A,0)-1,MATCH("poids",'Inventaire M-1'!#REF!,0))))</f>
        <v>#REF!</v>
      </c>
      <c r="M102" s="175"/>
      <c r="N102" s="157" t="str">
        <f t="shared" si="6"/>
        <v>0</v>
      </c>
      <c r="O102" s="98" t="str">
        <f t="shared" si="7"/>
        <v/>
      </c>
      <c r="P102" s="80" t="e">
        <f t="shared" si="8"/>
        <v>#REF!</v>
      </c>
      <c r="Q102" s="75">
        <v>7.8000000000000004E-9</v>
      </c>
      <c r="R102" s="175" t="e">
        <f>IF(OR('Inventaire M-1'!#REF!="Dispo/Liquidité Investie",'Inventaire M-1'!#REF!="Option/Future",'Inventaire M-1'!#REF!="TCN",'Inventaire M-1'!#REF!=""),"-",'Inventaire M-1'!#REF!)</f>
        <v>#REF!</v>
      </c>
      <c r="S102" s="175" t="e">
        <f>IF(OR('Inventaire M-1'!#REF!="Dispo/Liquidité Investie",'Inventaire M-1'!#REF!="Option/Future",'Inventaire M-1'!#REF!="TCN",'Inventaire M-1'!#REF!=""),"-",'Inventaire M-1'!#REF!)</f>
        <v>#REF!</v>
      </c>
      <c r="T102" s="175"/>
      <c r="U102" s="175" t="e">
        <f>IF(R102="-","",INDEX('Inventaire M-1'!$A$2:$AG$9334,MATCH(R102,'Inventaire M-1'!$A:$A,0)-1,MATCH("Cours EUR",'Inventaire M-1'!#REF!,0)))</f>
        <v>#REF!</v>
      </c>
      <c r="V102" s="175" t="e">
        <f>IF(R102="-","",IF(ISERROR(INDEX('Inventaire M'!$A$2:$AD$9319,MATCH(R102,'Inventaire M'!$A:$A,0)-1,MATCH("Cours EUR",'Inventaire M'!#REF!,0))),"Sell",INDEX('Inventaire M'!$A$2:$AD$9319,MATCH(R102,'Inventaire M'!$A:$A,0)-1,MATCH("Cours EUR",'Inventaire M'!#REF!,0))))</f>
        <v>#REF!</v>
      </c>
      <c r="W102" s="175"/>
      <c r="X102" s="156" t="e">
        <f>IF(R102="-","",INDEX('Inventaire M-1'!$A$2:$AG$9334,MATCH(R102,'Inventaire M-1'!$A:$A,0)-1,MATCH("quantite",'Inventaire M-1'!#REF!,0)))</f>
        <v>#REF!</v>
      </c>
      <c r="Y102" s="156" t="e">
        <f>IF(S102="-","",IF(ISERROR(INDEX('Inventaire M'!$A$2:$AD$9319,MATCH(R102,'Inventaire M'!$A:$A,0)-1,MATCH("quantite",'Inventaire M'!#REF!,0))),"Sell",INDEX('Inventaire M'!$A$2:$AD$9319,MATCH(R102,'Inventaire M'!$A:$A,0)-1,MATCH("quantite",'Inventaire M'!#REF!,0))))</f>
        <v>#REF!</v>
      </c>
      <c r="Z102" s="175"/>
      <c r="AA102" s="155" t="e">
        <f>IF(R102="-","",INDEX('Inventaire M-1'!$A$2:$AG$9334,MATCH(R102,'Inventaire M-1'!$A:$A,0)-1,MATCH("poids",'Inventaire M-1'!#REF!,0)))</f>
        <v>#REF!</v>
      </c>
      <c r="AB102" s="155" t="e">
        <f>IF(R102="-","",IF(ISERROR(INDEX('Inventaire M'!$A$2:$AD$9319,MATCH(R102,'Inventaire M'!$A:$A,0)-1,MATCH("poids",'Inventaire M'!#REF!,0))),"Sell",INDEX('Inventaire M'!$A$2:$AD$9319,MATCH(R102,'Inventaire M'!$A:$A,0)-1,MATCH("poids",'Inventaire M'!#REF!,0))))</f>
        <v>#REF!</v>
      </c>
      <c r="AC102" s="175"/>
      <c r="AD102" s="157" t="str">
        <f t="shared" si="9"/>
        <v>0</v>
      </c>
      <c r="AE102" s="98" t="str">
        <f t="shared" si="10"/>
        <v/>
      </c>
      <c r="AF102" s="80" t="e">
        <f t="shared" si="11"/>
        <v>#REF!</v>
      </c>
    </row>
    <row r="103" spans="2:32" outlineLevel="1">
      <c r="B103" s="175" t="e">
        <f>IF(OR('Inventaire M'!#REF!="Dispo/Liquidité Investie",'Inventaire M'!#REF!="Option/Future",'Inventaire M'!#REF!="TCN",'Inventaire M'!#REF!=""),"-",'Inventaire M'!#REF!)</f>
        <v>#REF!</v>
      </c>
      <c r="C103" s="175" t="e">
        <f>IF(OR('Inventaire M'!#REF!="Dispo/Liquidité Investie",'Inventaire M'!#REF!="Option/Future",'Inventaire M'!#REF!="TCN",'Inventaire M'!#REF!=""),"-",'Inventaire M'!#REF!)</f>
        <v>#REF!</v>
      </c>
      <c r="D103" s="175"/>
      <c r="E103" s="175" t="e">
        <f>IF(B103="-","",INDEX('Inventaire M'!$A$2:$AW$9305,MATCH(B103,'Inventaire M'!$A:$A,0)-1,MATCH("Cours EUR",'Inventaire M'!#REF!,0)))</f>
        <v>#REF!</v>
      </c>
      <c r="F103" s="175" t="e">
        <f>IF(B103="-","",IF(ISERROR(INDEX('Inventaire M-1'!$A$2:$AZ$9320,MATCH(B103,'Inventaire M-1'!$A:$A,0)-1,MATCH("Cours EUR",'Inventaire M-1'!#REF!,0))),"Buy",INDEX('Inventaire M-1'!$A$2:$AZ$9320,MATCH(B103,'Inventaire M-1'!$A:$A,0)-1,MATCH("Cours EUR",'Inventaire M-1'!#REF!,0))))</f>
        <v>#REF!</v>
      </c>
      <c r="G103" s="175"/>
      <c r="H103" s="156" t="e">
        <f>IF(B103="-","",INDEX('Inventaire M'!$A$2:$AW$9305,MATCH(B103,'Inventaire M'!$A:$A,0)-1,MATCH("quantite",'Inventaire M'!#REF!,0)))</f>
        <v>#REF!</v>
      </c>
      <c r="I103" s="156" t="e">
        <f>IF(C103="-","",IF(ISERROR(INDEX('Inventaire M-1'!$A$2:$AZ$9320,MATCH(B103,'Inventaire M-1'!$A:$A,0)-1,MATCH("quantite",'Inventaire M-1'!#REF!,0))),"Buy",INDEX('Inventaire M-1'!$A$2:$AZ$9320,MATCH(B103,'Inventaire M-1'!$A:$A,0)-1,MATCH("quantite",'Inventaire M-1'!#REF!,0))))</f>
        <v>#REF!</v>
      </c>
      <c r="J103" s="175"/>
      <c r="K103" s="155" t="e">
        <f>IF(B103="-","",INDEX('Inventaire M'!$A$2:$AW$9305,MATCH(B103,'Inventaire M'!$A:$A,0)-1,MATCH("poids",'Inventaire M'!#REF!,0)))</f>
        <v>#REF!</v>
      </c>
      <c r="L103" s="155" t="e">
        <f>IF(B103="-","",IF(ISERROR(INDEX('Inventaire M-1'!$A$2:$AZ$9320,MATCH(B103,'Inventaire M-1'!$A:$A,0)-1,MATCH("poids",'Inventaire M-1'!#REF!,0))),"Buy",INDEX('Inventaire M-1'!$A$2:$AZ$9320,MATCH(B103,'Inventaire M-1'!$A:$A,0)-1,MATCH("poids",'Inventaire M-1'!#REF!,0))))</f>
        <v>#REF!</v>
      </c>
      <c r="M103" s="175"/>
      <c r="N103" s="157" t="str">
        <f t="shared" si="6"/>
        <v>0</v>
      </c>
      <c r="O103" s="98" t="str">
        <f t="shared" si="7"/>
        <v/>
      </c>
      <c r="P103" s="80" t="e">
        <f t="shared" si="8"/>
        <v>#REF!</v>
      </c>
      <c r="Q103" s="75">
        <v>7.8999999999999996E-9</v>
      </c>
      <c r="R103" s="175" t="e">
        <f>IF(OR('Inventaire M-1'!#REF!="Dispo/Liquidité Investie",'Inventaire M-1'!#REF!="Option/Future",'Inventaire M-1'!#REF!="TCN",'Inventaire M-1'!#REF!=""),"-",'Inventaire M-1'!#REF!)</f>
        <v>#REF!</v>
      </c>
      <c r="S103" s="175" t="e">
        <f>IF(OR('Inventaire M-1'!#REF!="Dispo/Liquidité Investie",'Inventaire M-1'!#REF!="Option/Future",'Inventaire M-1'!#REF!="TCN",'Inventaire M-1'!#REF!=""),"-",'Inventaire M-1'!#REF!)</f>
        <v>#REF!</v>
      </c>
      <c r="T103" s="175"/>
      <c r="U103" s="175" t="e">
        <f>IF(R103="-","",INDEX('Inventaire M-1'!$A$2:$AG$9334,MATCH(R103,'Inventaire M-1'!$A:$A,0)-1,MATCH("Cours EUR",'Inventaire M-1'!#REF!,0)))</f>
        <v>#REF!</v>
      </c>
      <c r="V103" s="175" t="e">
        <f>IF(R103="-","",IF(ISERROR(INDEX('Inventaire M'!$A$2:$AD$9319,MATCH(R103,'Inventaire M'!$A:$A,0)-1,MATCH("Cours EUR",'Inventaire M'!#REF!,0))),"Sell",INDEX('Inventaire M'!$A$2:$AD$9319,MATCH(R103,'Inventaire M'!$A:$A,0)-1,MATCH("Cours EUR",'Inventaire M'!#REF!,0))))</f>
        <v>#REF!</v>
      </c>
      <c r="W103" s="175"/>
      <c r="X103" s="156" t="e">
        <f>IF(R103="-","",INDEX('Inventaire M-1'!$A$2:$AG$9334,MATCH(R103,'Inventaire M-1'!$A:$A,0)-1,MATCH("quantite",'Inventaire M-1'!#REF!,0)))</f>
        <v>#REF!</v>
      </c>
      <c r="Y103" s="156" t="e">
        <f>IF(S103="-","",IF(ISERROR(INDEX('Inventaire M'!$A$2:$AD$9319,MATCH(R103,'Inventaire M'!$A:$A,0)-1,MATCH("quantite",'Inventaire M'!#REF!,0))),"Sell",INDEX('Inventaire M'!$A$2:$AD$9319,MATCH(R103,'Inventaire M'!$A:$A,0)-1,MATCH("quantite",'Inventaire M'!#REF!,0))))</f>
        <v>#REF!</v>
      </c>
      <c r="Z103" s="175"/>
      <c r="AA103" s="155" t="e">
        <f>IF(R103="-","",INDEX('Inventaire M-1'!$A$2:$AG$9334,MATCH(R103,'Inventaire M-1'!$A:$A,0)-1,MATCH("poids",'Inventaire M-1'!#REF!,0)))</f>
        <v>#REF!</v>
      </c>
      <c r="AB103" s="155" t="e">
        <f>IF(R103="-","",IF(ISERROR(INDEX('Inventaire M'!$A$2:$AD$9319,MATCH(R103,'Inventaire M'!$A:$A,0)-1,MATCH("poids",'Inventaire M'!#REF!,0))),"Sell",INDEX('Inventaire M'!$A$2:$AD$9319,MATCH(R103,'Inventaire M'!$A:$A,0)-1,MATCH("poids",'Inventaire M'!#REF!,0))))</f>
        <v>#REF!</v>
      </c>
      <c r="AC103" s="175"/>
      <c r="AD103" s="157" t="str">
        <f t="shared" si="9"/>
        <v>0</v>
      </c>
      <c r="AE103" s="98" t="str">
        <f t="shared" si="10"/>
        <v/>
      </c>
      <c r="AF103" s="80" t="e">
        <f t="shared" si="11"/>
        <v>#REF!</v>
      </c>
    </row>
    <row r="104" spans="2:32" outlineLevel="1">
      <c r="B104" s="175" t="e">
        <f>IF(OR('Inventaire M'!#REF!="Dispo/Liquidité Investie",'Inventaire M'!#REF!="Option/Future",'Inventaire M'!#REF!="TCN",'Inventaire M'!#REF!=""),"-",'Inventaire M'!#REF!)</f>
        <v>#REF!</v>
      </c>
      <c r="C104" s="175" t="e">
        <f>IF(OR('Inventaire M'!#REF!="Dispo/Liquidité Investie",'Inventaire M'!#REF!="Option/Future",'Inventaire M'!#REF!="TCN",'Inventaire M'!#REF!=""),"-",'Inventaire M'!#REF!)</f>
        <v>#REF!</v>
      </c>
      <c r="D104" s="175"/>
      <c r="E104" s="175" t="e">
        <f>IF(B104="-","",INDEX('Inventaire M'!$A$2:$AW$9305,MATCH(B104,'Inventaire M'!$A:$A,0)-1,MATCH("Cours EUR",'Inventaire M'!#REF!,0)))</f>
        <v>#REF!</v>
      </c>
      <c r="F104" s="175" t="e">
        <f>IF(B104="-","",IF(ISERROR(INDEX('Inventaire M-1'!$A$2:$AZ$9320,MATCH(B104,'Inventaire M-1'!$A:$A,0)-1,MATCH("Cours EUR",'Inventaire M-1'!#REF!,0))),"Buy",INDEX('Inventaire M-1'!$A$2:$AZ$9320,MATCH(B104,'Inventaire M-1'!$A:$A,0)-1,MATCH("Cours EUR",'Inventaire M-1'!#REF!,0))))</f>
        <v>#REF!</v>
      </c>
      <c r="G104" s="175"/>
      <c r="H104" s="156" t="e">
        <f>IF(B104="-","",INDEX('Inventaire M'!$A$2:$AW$9305,MATCH(B104,'Inventaire M'!$A:$A,0)-1,MATCH("quantite",'Inventaire M'!#REF!,0)))</f>
        <v>#REF!</v>
      </c>
      <c r="I104" s="156" t="e">
        <f>IF(C104="-","",IF(ISERROR(INDEX('Inventaire M-1'!$A$2:$AZ$9320,MATCH(B104,'Inventaire M-1'!$A:$A,0)-1,MATCH("quantite",'Inventaire M-1'!#REF!,0))),"Buy",INDEX('Inventaire M-1'!$A$2:$AZ$9320,MATCH(B104,'Inventaire M-1'!$A:$A,0)-1,MATCH("quantite",'Inventaire M-1'!#REF!,0))))</f>
        <v>#REF!</v>
      </c>
      <c r="J104" s="175"/>
      <c r="K104" s="155" t="e">
        <f>IF(B104="-","",INDEX('Inventaire M'!$A$2:$AW$9305,MATCH(B104,'Inventaire M'!$A:$A,0)-1,MATCH("poids",'Inventaire M'!#REF!,0)))</f>
        <v>#REF!</v>
      </c>
      <c r="L104" s="155" t="e">
        <f>IF(B104="-","",IF(ISERROR(INDEX('Inventaire M-1'!$A$2:$AZ$9320,MATCH(B104,'Inventaire M-1'!$A:$A,0)-1,MATCH("poids",'Inventaire M-1'!#REF!,0))),"Buy",INDEX('Inventaire M-1'!$A$2:$AZ$9320,MATCH(B104,'Inventaire M-1'!$A:$A,0)-1,MATCH("poids",'Inventaire M-1'!#REF!,0))))</f>
        <v>#REF!</v>
      </c>
      <c r="M104" s="175"/>
      <c r="N104" s="157" t="str">
        <f t="shared" si="6"/>
        <v>0</v>
      </c>
      <c r="O104" s="98" t="str">
        <f t="shared" si="7"/>
        <v/>
      </c>
      <c r="P104" s="80" t="e">
        <f t="shared" si="8"/>
        <v>#REF!</v>
      </c>
      <c r="Q104" s="75">
        <v>8.0000000000000005E-9</v>
      </c>
      <c r="R104" s="175" t="e">
        <f>IF(OR('Inventaire M-1'!#REF!="Dispo/Liquidité Investie",'Inventaire M-1'!#REF!="Option/Future",'Inventaire M-1'!#REF!="TCN",'Inventaire M-1'!#REF!=""),"-",'Inventaire M-1'!#REF!)</f>
        <v>#REF!</v>
      </c>
      <c r="S104" s="175" t="e">
        <f>IF(OR('Inventaire M-1'!#REF!="Dispo/Liquidité Investie",'Inventaire M-1'!#REF!="Option/Future",'Inventaire M-1'!#REF!="TCN",'Inventaire M-1'!#REF!=""),"-",'Inventaire M-1'!#REF!)</f>
        <v>#REF!</v>
      </c>
      <c r="T104" s="175"/>
      <c r="U104" s="175" t="e">
        <f>IF(R104="-","",INDEX('Inventaire M-1'!$A$2:$AG$9334,MATCH(R104,'Inventaire M-1'!$A:$A,0)-1,MATCH("Cours EUR",'Inventaire M-1'!#REF!,0)))</f>
        <v>#REF!</v>
      </c>
      <c r="V104" s="175" t="e">
        <f>IF(R104="-","",IF(ISERROR(INDEX('Inventaire M'!$A$2:$AD$9319,MATCH(R104,'Inventaire M'!$A:$A,0)-1,MATCH("Cours EUR",'Inventaire M'!#REF!,0))),"Sell",INDEX('Inventaire M'!$A$2:$AD$9319,MATCH(R104,'Inventaire M'!$A:$A,0)-1,MATCH("Cours EUR",'Inventaire M'!#REF!,0))))</f>
        <v>#REF!</v>
      </c>
      <c r="W104" s="175"/>
      <c r="X104" s="156" t="e">
        <f>IF(R104="-","",INDEX('Inventaire M-1'!$A$2:$AG$9334,MATCH(R104,'Inventaire M-1'!$A:$A,0)-1,MATCH("quantite",'Inventaire M-1'!#REF!,0)))</f>
        <v>#REF!</v>
      </c>
      <c r="Y104" s="156" t="e">
        <f>IF(S104="-","",IF(ISERROR(INDEX('Inventaire M'!$A$2:$AD$9319,MATCH(R104,'Inventaire M'!$A:$A,0)-1,MATCH("quantite",'Inventaire M'!#REF!,0))),"Sell",INDEX('Inventaire M'!$A$2:$AD$9319,MATCH(R104,'Inventaire M'!$A:$A,0)-1,MATCH("quantite",'Inventaire M'!#REF!,0))))</f>
        <v>#REF!</v>
      </c>
      <c r="Z104" s="175"/>
      <c r="AA104" s="155" t="e">
        <f>IF(R104="-","",INDEX('Inventaire M-1'!$A$2:$AG$9334,MATCH(R104,'Inventaire M-1'!$A:$A,0)-1,MATCH("poids",'Inventaire M-1'!#REF!,0)))</f>
        <v>#REF!</v>
      </c>
      <c r="AB104" s="155" t="e">
        <f>IF(R104="-","",IF(ISERROR(INDEX('Inventaire M'!$A$2:$AD$9319,MATCH(R104,'Inventaire M'!$A:$A,0)-1,MATCH("poids",'Inventaire M'!#REF!,0))),"Sell",INDEX('Inventaire M'!$A$2:$AD$9319,MATCH(R104,'Inventaire M'!$A:$A,0)-1,MATCH("poids",'Inventaire M'!#REF!,0))))</f>
        <v>#REF!</v>
      </c>
      <c r="AC104" s="175"/>
      <c r="AD104" s="157" t="str">
        <f t="shared" si="9"/>
        <v>0</v>
      </c>
      <c r="AE104" s="98" t="str">
        <f t="shared" si="10"/>
        <v/>
      </c>
      <c r="AF104" s="80" t="e">
        <f t="shared" si="11"/>
        <v>#REF!</v>
      </c>
    </row>
    <row r="105" spans="2:32" outlineLevel="1">
      <c r="B105" s="175" t="e">
        <f>IF(OR('Inventaire M'!#REF!="Dispo/Liquidité Investie",'Inventaire M'!#REF!="Option/Future",'Inventaire M'!#REF!="TCN",'Inventaire M'!#REF!=""),"-",'Inventaire M'!#REF!)</f>
        <v>#REF!</v>
      </c>
      <c r="C105" s="175" t="e">
        <f>IF(OR('Inventaire M'!#REF!="Dispo/Liquidité Investie",'Inventaire M'!#REF!="Option/Future",'Inventaire M'!#REF!="TCN",'Inventaire M'!#REF!=""),"-",'Inventaire M'!#REF!)</f>
        <v>#REF!</v>
      </c>
      <c r="D105" s="175"/>
      <c r="E105" s="175" t="e">
        <f>IF(B105="-","",INDEX('Inventaire M'!$A$2:$AW$9305,MATCH(B105,'Inventaire M'!$A:$A,0)-1,MATCH("Cours EUR",'Inventaire M'!#REF!,0)))</f>
        <v>#REF!</v>
      </c>
      <c r="F105" s="175" t="e">
        <f>IF(B105="-","",IF(ISERROR(INDEX('Inventaire M-1'!$A$2:$AZ$9320,MATCH(B105,'Inventaire M-1'!$A:$A,0)-1,MATCH("Cours EUR",'Inventaire M-1'!#REF!,0))),"Buy",INDEX('Inventaire M-1'!$A$2:$AZ$9320,MATCH(B105,'Inventaire M-1'!$A:$A,0)-1,MATCH("Cours EUR",'Inventaire M-1'!#REF!,0))))</f>
        <v>#REF!</v>
      </c>
      <c r="G105" s="175"/>
      <c r="H105" s="156" t="e">
        <f>IF(B105="-","",INDEX('Inventaire M'!$A$2:$AW$9305,MATCH(B105,'Inventaire M'!$A:$A,0)-1,MATCH("quantite",'Inventaire M'!#REF!,0)))</f>
        <v>#REF!</v>
      </c>
      <c r="I105" s="156" t="e">
        <f>IF(C105="-","",IF(ISERROR(INDEX('Inventaire M-1'!$A$2:$AZ$9320,MATCH(B105,'Inventaire M-1'!$A:$A,0)-1,MATCH("quantite",'Inventaire M-1'!#REF!,0))),"Buy",INDEX('Inventaire M-1'!$A$2:$AZ$9320,MATCH(B105,'Inventaire M-1'!$A:$A,0)-1,MATCH("quantite",'Inventaire M-1'!#REF!,0))))</f>
        <v>#REF!</v>
      </c>
      <c r="J105" s="175"/>
      <c r="K105" s="155" t="e">
        <f>IF(B105="-","",INDEX('Inventaire M'!$A$2:$AW$9305,MATCH(B105,'Inventaire M'!$A:$A,0)-1,MATCH("poids",'Inventaire M'!#REF!,0)))</f>
        <v>#REF!</v>
      </c>
      <c r="L105" s="155" t="e">
        <f>IF(B105="-","",IF(ISERROR(INDEX('Inventaire M-1'!$A$2:$AZ$9320,MATCH(B105,'Inventaire M-1'!$A:$A,0)-1,MATCH("poids",'Inventaire M-1'!#REF!,0))),"Buy",INDEX('Inventaire M-1'!$A$2:$AZ$9320,MATCH(B105,'Inventaire M-1'!$A:$A,0)-1,MATCH("poids",'Inventaire M-1'!#REF!,0))))</f>
        <v>#REF!</v>
      </c>
      <c r="M105" s="175"/>
      <c r="N105" s="157" t="str">
        <f t="shared" si="6"/>
        <v>0</v>
      </c>
      <c r="O105" s="98" t="str">
        <f t="shared" si="7"/>
        <v/>
      </c>
      <c r="P105" s="80" t="e">
        <f t="shared" si="8"/>
        <v>#REF!</v>
      </c>
      <c r="Q105" s="75">
        <v>8.0999999999999997E-9</v>
      </c>
      <c r="R105" s="175" t="e">
        <f>IF(OR('Inventaire M-1'!#REF!="Dispo/Liquidité Investie",'Inventaire M-1'!#REF!="Option/Future",'Inventaire M-1'!#REF!="TCN",'Inventaire M-1'!#REF!=""),"-",'Inventaire M-1'!#REF!)</f>
        <v>#REF!</v>
      </c>
      <c r="S105" s="175" t="e">
        <f>IF(OR('Inventaire M-1'!#REF!="Dispo/Liquidité Investie",'Inventaire M-1'!#REF!="Option/Future",'Inventaire M-1'!#REF!="TCN",'Inventaire M-1'!#REF!=""),"-",'Inventaire M-1'!#REF!)</f>
        <v>#REF!</v>
      </c>
      <c r="T105" s="175"/>
      <c r="U105" s="175" t="e">
        <f>IF(R105="-","",INDEX('Inventaire M-1'!$A$2:$AG$9334,MATCH(R105,'Inventaire M-1'!$A:$A,0)-1,MATCH("Cours EUR",'Inventaire M-1'!#REF!,0)))</f>
        <v>#REF!</v>
      </c>
      <c r="V105" s="175" t="e">
        <f>IF(R105="-","",IF(ISERROR(INDEX('Inventaire M'!$A$2:$AD$9319,MATCH(R105,'Inventaire M'!$A:$A,0)-1,MATCH("Cours EUR",'Inventaire M'!#REF!,0))),"Sell",INDEX('Inventaire M'!$A$2:$AD$9319,MATCH(R105,'Inventaire M'!$A:$A,0)-1,MATCH("Cours EUR",'Inventaire M'!#REF!,0))))</f>
        <v>#REF!</v>
      </c>
      <c r="W105" s="175"/>
      <c r="X105" s="156" t="e">
        <f>IF(R105="-","",INDEX('Inventaire M-1'!$A$2:$AG$9334,MATCH(R105,'Inventaire M-1'!$A:$A,0)-1,MATCH("quantite",'Inventaire M-1'!#REF!,0)))</f>
        <v>#REF!</v>
      </c>
      <c r="Y105" s="156" t="e">
        <f>IF(S105="-","",IF(ISERROR(INDEX('Inventaire M'!$A$2:$AD$9319,MATCH(R105,'Inventaire M'!$A:$A,0)-1,MATCH("quantite",'Inventaire M'!#REF!,0))),"Sell",INDEX('Inventaire M'!$A$2:$AD$9319,MATCH(R105,'Inventaire M'!$A:$A,0)-1,MATCH("quantite",'Inventaire M'!#REF!,0))))</f>
        <v>#REF!</v>
      </c>
      <c r="Z105" s="175"/>
      <c r="AA105" s="155" t="e">
        <f>IF(R105="-","",INDEX('Inventaire M-1'!$A$2:$AG$9334,MATCH(R105,'Inventaire M-1'!$A:$A,0)-1,MATCH("poids",'Inventaire M-1'!#REF!,0)))</f>
        <v>#REF!</v>
      </c>
      <c r="AB105" s="155" t="e">
        <f>IF(R105="-","",IF(ISERROR(INDEX('Inventaire M'!$A$2:$AD$9319,MATCH(R105,'Inventaire M'!$A:$A,0)-1,MATCH("poids",'Inventaire M'!#REF!,0))),"Sell",INDEX('Inventaire M'!$A$2:$AD$9319,MATCH(R105,'Inventaire M'!$A:$A,0)-1,MATCH("poids",'Inventaire M'!#REF!,0))))</f>
        <v>#REF!</v>
      </c>
      <c r="AC105" s="175"/>
      <c r="AD105" s="157" t="str">
        <f t="shared" si="9"/>
        <v>0</v>
      </c>
      <c r="AE105" s="98" t="str">
        <f t="shared" si="10"/>
        <v/>
      </c>
      <c r="AF105" s="80" t="e">
        <f t="shared" si="11"/>
        <v>#REF!</v>
      </c>
    </row>
    <row r="106" spans="2:32" outlineLevel="1">
      <c r="B106" s="175" t="e">
        <f>IF(OR('Inventaire M'!#REF!="Dispo/Liquidité Investie",'Inventaire M'!#REF!="Option/Future",'Inventaire M'!#REF!="TCN",'Inventaire M'!#REF!=""),"-",'Inventaire M'!#REF!)</f>
        <v>#REF!</v>
      </c>
      <c r="C106" s="175" t="e">
        <f>IF(OR('Inventaire M'!#REF!="Dispo/Liquidité Investie",'Inventaire M'!#REF!="Option/Future",'Inventaire M'!#REF!="TCN",'Inventaire M'!#REF!=""),"-",'Inventaire M'!#REF!)</f>
        <v>#REF!</v>
      </c>
      <c r="D106" s="175"/>
      <c r="E106" s="175" t="e">
        <f>IF(B106="-","",INDEX('Inventaire M'!$A$2:$AW$9305,MATCH(B106,'Inventaire M'!$A:$A,0)-1,MATCH("Cours EUR",'Inventaire M'!#REF!,0)))</f>
        <v>#REF!</v>
      </c>
      <c r="F106" s="175" t="e">
        <f>IF(B106="-","",IF(ISERROR(INDEX('Inventaire M-1'!$A$2:$AZ$9320,MATCH(B106,'Inventaire M-1'!$A:$A,0)-1,MATCH("Cours EUR",'Inventaire M-1'!#REF!,0))),"Buy",INDEX('Inventaire M-1'!$A$2:$AZ$9320,MATCH(B106,'Inventaire M-1'!$A:$A,0)-1,MATCH("Cours EUR",'Inventaire M-1'!#REF!,0))))</f>
        <v>#REF!</v>
      </c>
      <c r="G106" s="175"/>
      <c r="H106" s="156" t="e">
        <f>IF(B106="-","",INDEX('Inventaire M'!$A$2:$AW$9305,MATCH(B106,'Inventaire M'!$A:$A,0)-1,MATCH("quantite",'Inventaire M'!#REF!,0)))</f>
        <v>#REF!</v>
      </c>
      <c r="I106" s="156" t="e">
        <f>IF(C106="-","",IF(ISERROR(INDEX('Inventaire M-1'!$A$2:$AZ$9320,MATCH(B106,'Inventaire M-1'!$A:$A,0)-1,MATCH("quantite",'Inventaire M-1'!#REF!,0))),"Buy",INDEX('Inventaire M-1'!$A$2:$AZ$9320,MATCH(B106,'Inventaire M-1'!$A:$A,0)-1,MATCH("quantite",'Inventaire M-1'!#REF!,0))))</f>
        <v>#REF!</v>
      </c>
      <c r="J106" s="175"/>
      <c r="K106" s="155" t="e">
        <f>IF(B106="-","",INDEX('Inventaire M'!$A$2:$AW$9305,MATCH(B106,'Inventaire M'!$A:$A,0)-1,MATCH("poids",'Inventaire M'!#REF!,0)))</f>
        <v>#REF!</v>
      </c>
      <c r="L106" s="155" t="e">
        <f>IF(B106="-","",IF(ISERROR(INDEX('Inventaire M-1'!$A$2:$AZ$9320,MATCH(B106,'Inventaire M-1'!$A:$A,0)-1,MATCH("poids",'Inventaire M-1'!#REF!,0))),"Buy",INDEX('Inventaire M-1'!$A$2:$AZ$9320,MATCH(B106,'Inventaire M-1'!$A:$A,0)-1,MATCH("poids",'Inventaire M-1'!#REF!,0))))</f>
        <v>#REF!</v>
      </c>
      <c r="M106" s="175"/>
      <c r="N106" s="157" t="str">
        <f t="shared" si="6"/>
        <v>0</v>
      </c>
      <c r="O106" s="98" t="str">
        <f t="shared" si="7"/>
        <v/>
      </c>
      <c r="P106" s="80" t="e">
        <f t="shared" si="8"/>
        <v>#REF!</v>
      </c>
      <c r="Q106" s="75">
        <v>8.2000000000000006E-9</v>
      </c>
      <c r="R106" s="175" t="e">
        <f>IF(OR('Inventaire M-1'!#REF!="Dispo/Liquidité Investie",'Inventaire M-1'!#REF!="Option/Future",'Inventaire M-1'!#REF!="TCN",'Inventaire M-1'!#REF!=""),"-",'Inventaire M-1'!#REF!)</f>
        <v>#REF!</v>
      </c>
      <c r="S106" s="175" t="e">
        <f>IF(OR('Inventaire M-1'!#REF!="Dispo/Liquidité Investie",'Inventaire M-1'!#REF!="Option/Future",'Inventaire M-1'!#REF!="TCN",'Inventaire M-1'!#REF!=""),"-",'Inventaire M-1'!#REF!)</f>
        <v>#REF!</v>
      </c>
      <c r="T106" s="175"/>
      <c r="U106" s="175" t="e">
        <f>IF(R106="-","",INDEX('Inventaire M-1'!$A$2:$AG$9334,MATCH(R106,'Inventaire M-1'!$A:$A,0)-1,MATCH("Cours EUR",'Inventaire M-1'!#REF!,0)))</f>
        <v>#REF!</v>
      </c>
      <c r="V106" s="175" t="e">
        <f>IF(R106="-","",IF(ISERROR(INDEX('Inventaire M'!$A$2:$AD$9319,MATCH(R106,'Inventaire M'!$A:$A,0)-1,MATCH("Cours EUR",'Inventaire M'!#REF!,0))),"Sell",INDEX('Inventaire M'!$A$2:$AD$9319,MATCH(R106,'Inventaire M'!$A:$A,0)-1,MATCH("Cours EUR",'Inventaire M'!#REF!,0))))</f>
        <v>#REF!</v>
      </c>
      <c r="W106" s="175"/>
      <c r="X106" s="156" t="e">
        <f>IF(R106="-","",INDEX('Inventaire M-1'!$A$2:$AG$9334,MATCH(R106,'Inventaire M-1'!$A:$A,0)-1,MATCH("quantite",'Inventaire M-1'!#REF!,0)))</f>
        <v>#REF!</v>
      </c>
      <c r="Y106" s="156" t="e">
        <f>IF(S106="-","",IF(ISERROR(INDEX('Inventaire M'!$A$2:$AD$9319,MATCH(R106,'Inventaire M'!$A:$A,0)-1,MATCH("quantite",'Inventaire M'!#REF!,0))),"Sell",INDEX('Inventaire M'!$A$2:$AD$9319,MATCH(R106,'Inventaire M'!$A:$A,0)-1,MATCH("quantite",'Inventaire M'!#REF!,0))))</f>
        <v>#REF!</v>
      </c>
      <c r="Z106" s="175"/>
      <c r="AA106" s="155" t="e">
        <f>IF(R106="-","",INDEX('Inventaire M-1'!$A$2:$AG$9334,MATCH(R106,'Inventaire M-1'!$A:$A,0)-1,MATCH("poids",'Inventaire M-1'!#REF!,0)))</f>
        <v>#REF!</v>
      </c>
      <c r="AB106" s="155" t="e">
        <f>IF(R106="-","",IF(ISERROR(INDEX('Inventaire M'!$A$2:$AD$9319,MATCH(R106,'Inventaire M'!$A:$A,0)-1,MATCH("poids",'Inventaire M'!#REF!,0))),"Sell",INDEX('Inventaire M'!$A$2:$AD$9319,MATCH(R106,'Inventaire M'!$A:$A,0)-1,MATCH("poids",'Inventaire M'!#REF!,0))))</f>
        <v>#REF!</v>
      </c>
      <c r="AC106" s="175"/>
      <c r="AD106" s="157" t="str">
        <f t="shared" si="9"/>
        <v>0</v>
      </c>
      <c r="AE106" s="98" t="str">
        <f t="shared" si="10"/>
        <v/>
      </c>
      <c r="AF106" s="80" t="e">
        <f t="shared" si="11"/>
        <v>#REF!</v>
      </c>
    </row>
    <row r="107" spans="2:32" outlineLevel="1">
      <c r="B107" s="175" t="e">
        <f>IF(OR('Inventaire M'!#REF!="Dispo/Liquidité Investie",'Inventaire M'!#REF!="Option/Future",'Inventaire M'!#REF!="TCN",'Inventaire M'!#REF!=""),"-",'Inventaire M'!#REF!)</f>
        <v>#REF!</v>
      </c>
      <c r="C107" s="175" t="e">
        <f>IF(OR('Inventaire M'!#REF!="Dispo/Liquidité Investie",'Inventaire M'!#REF!="Option/Future",'Inventaire M'!#REF!="TCN",'Inventaire M'!#REF!=""),"-",'Inventaire M'!#REF!)</f>
        <v>#REF!</v>
      </c>
      <c r="D107" s="175"/>
      <c r="E107" s="175" t="e">
        <f>IF(B107="-","",INDEX('Inventaire M'!$A$2:$AW$9305,MATCH(B107,'Inventaire M'!$A:$A,0)-1,MATCH("Cours EUR",'Inventaire M'!#REF!,0)))</f>
        <v>#REF!</v>
      </c>
      <c r="F107" s="175" t="e">
        <f>IF(B107="-","",IF(ISERROR(INDEX('Inventaire M-1'!$A$2:$AZ$9320,MATCH(B107,'Inventaire M-1'!$A:$A,0)-1,MATCH("Cours EUR",'Inventaire M-1'!#REF!,0))),"Buy",INDEX('Inventaire M-1'!$A$2:$AZ$9320,MATCH(B107,'Inventaire M-1'!$A:$A,0)-1,MATCH("Cours EUR",'Inventaire M-1'!#REF!,0))))</f>
        <v>#REF!</v>
      </c>
      <c r="G107" s="175"/>
      <c r="H107" s="156" t="e">
        <f>IF(B107="-","",INDEX('Inventaire M'!$A$2:$AW$9305,MATCH(B107,'Inventaire M'!$A:$A,0)-1,MATCH("quantite",'Inventaire M'!#REF!,0)))</f>
        <v>#REF!</v>
      </c>
      <c r="I107" s="156" t="e">
        <f>IF(C107="-","",IF(ISERROR(INDEX('Inventaire M-1'!$A$2:$AZ$9320,MATCH(B107,'Inventaire M-1'!$A:$A,0)-1,MATCH("quantite",'Inventaire M-1'!#REF!,0))),"Buy",INDEX('Inventaire M-1'!$A$2:$AZ$9320,MATCH(B107,'Inventaire M-1'!$A:$A,0)-1,MATCH("quantite",'Inventaire M-1'!#REF!,0))))</f>
        <v>#REF!</v>
      </c>
      <c r="J107" s="175"/>
      <c r="K107" s="155" t="e">
        <f>IF(B107="-","",INDEX('Inventaire M'!$A$2:$AW$9305,MATCH(B107,'Inventaire M'!$A:$A,0)-1,MATCH("poids",'Inventaire M'!#REF!,0)))</f>
        <v>#REF!</v>
      </c>
      <c r="L107" s="155" t="e">
        <f>IF(B107="-","",IF(ISERROR(INDEX('Inventaire M-1'!$A$2:$AZ$9320,MATCH(B107,'Inventaire M-1'!$A:$A,0)-1,MATCH("poids",'Inventaire M-1'!#REF!,0))),"Buy",INDEX('Inventaire M-1'!$A$2:$AZ$9320,MATCH(B107,'Inventaire M-1'!$A:$A,0)-1,MATCH("poids",'Inventaire M-1'!#REF!,0))))</f>
        <v>#REF!</v>
      </c>
      <c r="M107" s="175"/>
      <c r="N107" s="157" t="str">
        <f t="shared" si="6"/>
        <v>0</v>
      </c>
      <c r="O107" s="98" t="str">
        <f t="shared" si="7"/>
        <v/>
      </c>
      <c r="P107" s="80" t="e">
        <f t="shared" si="8"/>
        <v>#REF!</v>
      </c>
      <c r="Q107" s="75">
        <v>8.2999999999999999E-9</v>
      </c>
      <c r="R107" s="175" t="e">
        <f>IF(OR('Inventaire M-1'!#REF!="Dispo/Liquidité Investie",'Inventaire M-1'!#REF!="Option/Future",'Inventaire M-1'!#REF!="TCN",'Inventaire M-1'!#REF!=""),"-",'Inventaire M-1'!#REF!)</f>
        <v>#REF!</v>
      </c>
      <c r="S107" s="175" t="e">
        <f>IF(OR('Inventaire M-1'!#REF!="Dispo/Liquidité Investie",'Inventaire M-1'!#REF!="Option/Future",'Inventaire M-1'!#REF!="TCN",'Inventaire M-1'!#REF!=""),"-",'Inventaire M-1'!#REF!)</f>
        <v>#REF!</v>
      </c>
      <c r="T107" s="175"/>
      <c r="U107" s="175" t="e">
        <f>IF(R107="-","",INDEX('Inventaire M-1'!$A$2:$AG$9334,MATCH(R107,'Inventaire M-1'!$A:$A,0)-1,MATCH("Cours EUR",'Inventaire M-1'!#REF!,0)))</f>
        <v>#REF!</v>
      </c>
      <c r="V107" s="175" t="e">
        <f>IF(R107="-","",IF(ISERROR(INDEX('Inventaire M'!$A$2:$AD$9319,MATCH(R107,'Inventaire M'!$A:$A,0)-1,MATCH("Cours EUR",'Inventaire M'!#REF!,0))),"Sell",INDEX('Inventaire M'!$A$2:$AD$9319,MATCH(R107,'Inventaire M'!$A:$A,0)-1,MATCH("Cours EUR",'Inventaire M'!#REF!,0))))</f>
        <v>#REF!</v>
      </c>
      <c r="W107" s="175"/>
      <c r="X107" s="156" t="e">
        <f>IF(R107="-","",INDEX('Inventaire M-1'!$A$2:$AG$9334,MATCH(R107,'Inventaire M-1'!$A:$A,0)-1,MATCH("quantite",'Inventaire M-1'!#REF!,0)))</f>
        <v>#REF!</v>
      </c>
      <c r="Y107" s="156" t="e">
        <f>IF(S107="-","",IF(ISERROR(INDEX('Inventaire M'!$A$2:$AD$9319,MATCH(R107,'Inventaire M'!$A:$A,0)-1,MATCH("quantite",'Inventaire M'!#REF!,0))),"Sell",INDEX('Inventaire M'!$A$2:$AD$9319,MATCH(R107,'Inventaire M'!$A:$A,0)-1,MATCH("quantite",'Inventaire M'!#REF!,0))))</f>
        <v>#REF!</v>
      </c>
      <c r="Z107" s="175"/>
      <c r="AA107" s="155" t="e">
        <f>IF(R107="-","",INDEX('Inventaire M-1'!$A$2:$AG$9334,MATCH(R107,'Inventaire M-1'!$A:$A,0)-1,MATCH("poids",'Inventaire M-1'!#REF!,0)))</f>
        <v>#REF!</v>
      </c>
      <c r="AB107" s="155" t="e">
        <f>IF(R107="-","",IF(ISERROR(INDEX('Inventaire M'!$A$2:$AD$9319,MATCH(R107,'Inventaire M'!$A:$A,0)-1,MATCH("poids",'Inventaire M'!#REF!,0))),"Sell",INDEX('Inventaire M'!$A$2:$AD$9319,MATCH(R107,'Inventaire M'!$A:$A,0)-1,MATCH("poids",'Inventaire M'!#REF!,0))))</f>
        <v>#REF!</v>
      </c>
      <c r="AC107" s="175"/>
      <c r="AD107" s="157" t="str">
        <f t="shared" si="9"/>
        <v>0</v>
      </c>
      <c r="AE107" s="98" t="str">
        <f t="shared" si="10"/>
        <v/>
      </c>
      <c r="AF107" s="80" t="e">
        <f t="shared" si="11"/>
        <v>#REF!</v>
      </c>
    </row>
    <row r="108" spans="2:32" outlineLevel="1">
      <c r="B108" s="175" t="e">
        <f>IF(OR('Inventaire M'!#REF!="Dispo/Liquidité Investie",'Inventaire M'!#REF!="Option/Future",'Inventaire M'!#REF!="TCN",'Inventaire M'!#REF!=""),"-",'Inventaire M'!#REF!)</f>
        <v>#REF!</v>
      </c>
      <c r="C108" s="175" t="e">
        <f>IF(OR('Inventaire M'!#REF!="Dispo/Liquidité Investie",'Inventaire M'!#REF!="Option/Future",'Inventaire M'!#REF!="TCN",'Inventaire M'!#REF!=""),"-",'Inventaire M'!#REF!)</f>
        <v>#REF!</v>
      </c>
      <c r="D108" s="175"/>
      <c r="E108" s="175" t="e">
        <f>IF(B108="-","",INDEX('Inventaire M'!$A$2:$AW$9305,MATCH(B108,'Inventaire M'!$A:$A,0)-1,MATCH("Cours EUR",'Inventaire M'!#REF!,0)))</f>
        <v>#REF!</v>
      </c>
      <c r="F108" s="175" t="e">
        <f>IF(B108="-","",IF(ISERROR(INDEX('Inventaire M-1'!$A$2:$AZ$9320,MATCH(B108,'Inventaire M-1'!$A:$A,0)-1,MATCH("Cours EUR",'Inventaire M-1'!#REF!,0))),"Buy",INDEX('Inventaire M-1'!$A$2:$AZ$9320,MATCH(B108,'Inventaire M-1'!$A:$A,0)-1,MATCH("Cours EUR",'Inventaire M-1'!#REF!,0))))</f>
        <v>#REF!</v>
      </c>
      <c r="G108" s="175"/>
      <c r="H108" s="156" t="e">
        <f>IF(B108="-","",INDEX('Inventaire M'!$A$2:$AW$9305,MATCH(B108,'Inventaire M'!$A:$A,0)-1,MATCH("quantite",'Inventaire M'!#REF!,0)))</f>
        <v>#REF!</v>
      </c>
      <c r="I108" s="156" t="e">
        <f>IF(C108="-","",IF(ISERROR(INDEX('Inventaire M-1'!$A$2:$AZ$9320,MATCH(B108,'Inventaire M-1'!$A:$A,0)-1,MATCH("quantite",'Inventaire M-1'!#REF!,0))),"Buy",INDEX('Inventaire M-1'!$A$2:$AZ$9320,MATCH(B108,'Inventaire M-1'!$A:$A,0)-1,MATCH("quantite",'Inventaire M-1'!#REF!,0))))</f>
        <v>#REF!</v>
      </c>
      <c r="J108" s="175"/>
      <c r="K108" s="155" t="e">
        <f>IF(B108="-","",INDEX('Inventaire M'!$A$2:$AW$9305,MATCH(B108,'Inventaire M'!$A:$A,0)-1,MATCH("poids",'Inventaire M'!#REF!,0)))</f>
        <v>#REF!</v>
      </c>
      <c r="L108" s="155" t="e">
        <f>IF(B108="-","",IF(ISERROR(INDEX('Inventaire M-1'!$A$2:$AZ$9320,MATCH(B108,'Inventaire M-1'!$A:$A,0)-1,MATCH("poids",'Inventaire M-1'!#REF!,0))),"Buy",INDEX('Inventaire M-1'!$A$2:$AZ$9320,MATCH(B108,'Inventaire M-1'!$A:$A,0)-1,MATCH("poids",'Inventaire M-1'!#REF!,0))))</f>
        <v>#REF!</v>
      </c>
      <c r="M108" s="175"/>
      <c r="N108" s="157" t="str">
        <f t="shared" si="6"/>
        <v>0</v>
      </c>
      <c r="O108" s="98" t="str">
        <f t="shared" si="7"/>
        <v/>
      </c>
      <c r="P108" s="80" t="e">
        <f t="shared" si="8"/>
        <v>#REF!</v>
      </c>
      <c r="Q108" s="75">
        <v>8.4000000000000008E-9</v>
      </c>
      <c r="R108" s="175" t="e">
        <f>IF(OR('Inventaire M-1'!#REF!="Dispo/Liquidité Investie",'Inventaire M-1'!#REF!="Option/Future",'Inventaire M-1'!#REF!="TCN",'Inventaire M-1'!#REF!=""),"-",'Inventaire M-1'!#REF!)</f>
        <v>#REF!</v>
      </c>
      <c r="S108" s="175" t="e">
        <f>IF(OR('Inventaire M-1'!#REF!="Dispo/Liquidité Investie",'Inventaire M-1'!#REF!="Option/Future",'Inventaire M-1'!#REF!="TCN",'Inventaire M-1'!#REF!=""),"-",'Inventaire M-1'!#REF!)</f>
        <v>#REF!</v>
      </c>
      <c r="T108" s="175"/>
      <c r="U108" s="175" t="e">
        <f>IF(R108="-","",INDEX('Inventaire M-1'!$A$2:$AG$9334,MATCH(R108,'Inventaire M-1'!$A:$A,0)-1,MATCH("Cours EUR",'Inventaire M-1'!#REF!,0)))</f>
        <v>#REF!</v>
      </c>
      <c r="V108" s="175" t="e">
        <f>IF(R108="-","",IF(ISERROR(INDEX('Inventaire M'!$A$2:$AD$9319,MATCH(R108,'Inventaire M'!$A:$A,0)-1,MATCH("Cours EUR",'Inventaire M'!#REF!,0))),"Sell",INDEX('Inventaire M'!$A$2:$AD$9319,MATCH(R108,'Inventaire M'!$A:$A,0)-1,MATCH("Cours EUR",'Inventaire M'!#REF!,0))))</f>
        <v>#REF!</v>
      </c>
      <c r="W108" s="175"/>
      <c r="X108" s="156" t="e">
        <f>IF(R108="-","",INDEX('Inventaire M-1'!$A$2:$AG$9334,MATCH(R108,'Inventaire M-1'!$A:$A,0)-1,MATCH("quantite",'Inventaire M-1'!#REF!,0)))</f>
        <v>#REF!</v>
      </c>
      <c r="Y108" s="156" t="e">
        <f>IF(S108="-","",IF(ISERROR(INDEX('Inventaire M'!$A$2:$AD$9319,MATCH(R108,'Inventaire M'!$A:$A,0)-1,MATCH("quantite",'Inventaire M'!#REF!,0))),"Sell",INDEX('Inventaire M'!$A$2:$AD$9319,MATCH(R108,'Inventaire M'!$A:$A,0)-1,MATCH("quantite",'Inventaire M'!#REF!,0))))</f>
        <v>#REF!</v>
      </c>
      <c r="Z108" s="175"/>
      <c r="AA108" s="155" t="e">
        <f>IF(R108="-","",INDEX('Inventaire M-1'!$A$2:$AG$9334,MATCH(R108,'Inventaire M-1'!$A:$A,0)-1,MATCH("poids",'Inventaire M-1'!#REF!,0)))</f>
        <v>#REF!</v>
      </c>
      <c r="AB108" s="155" t="e">
        <f>IF(R108="-","",IF(ISERROR(INDEX('Inventaire M'!$A$2:$AD$9319,MATCH(R108,'Inventaire M'!$A:$A,0)-1,MATCH("poids",'Inventaire M'!#REF!,0))),"Sell",INDEX('Inventaire M'!$A$2:$AD$9319,MATCH(R108,'Inventaire M'!$A:$A,0)-1,MATCH("poids",'Inventaire M'!#REF!,0))))</f>
        <v>#REF!</v>
      </c>
      <c r="AC108" s="175"/>
      <c r="AD108" s="157" t="str">
        <f t="shared" si="9"/>
        <v>0</v>
      </c>
      <c r="AE108" s="98" t="str">
        <f t="shared" si="10"/>
        <v/>
      </c>
      <c r="AF108" s="80" t="e">
        <f t="shared" si="11"/>
        <v>#REF!</v>
      </c>
    </row>
    <row r="109" spans="2:32" outlineLevel="1">
      <c r="B109" s="175" t="e">
        <f>IF(OR('Inventaire M'!#REF!="Dispo/Liquidité Investie",'Inventaire M'!#REF!="Option/Future",'Inventaire M'!#REF!="TCN",'Inventaire M'!#REF!=""),"-",'Inventaire M'!#REF!)</f>
        <v>#REF!</v>
      </c>
      <c r="C109" s="175" t="e">
        <f>IF(OR('Inventaire M'!#REF!="Dispo/Liquidité Investie",'Inventaire M'!#REF!="Option/Future",'Inventaire M'!#REF!="TCN",'Inventaire M'!#REF!=""),"-",'Inventaire M'!#REF!)</f>
        <v>#REF!</v>
      </c>
      <c r="D109" s="175"/>
      <c r="E109" s="175" t="e">
        <f>IF(B109="-","",INDEX('Inventaire M'!$A$2:$AW$9305,MATCH(B109,'Inventaire M'!$A:$A,0)-1,MATCH("Cours EUR",'Inventaire M'!#REF!,0)))</f>
        <v>#REF!</v>
      </c>
      <c r="F109" s="175" t="e">
        <f>IF(B109="-","",IF(ISERROR(INDEX('Inventaire M-1'!$A$2:$AZ$9320,MATCH(B109,'Inventaire M-1'!$A:$A,0)-1,MATCH("Cours EUR",'Inventaire M-1'!#REF!,0))),"Buy",INDEX('Inventaire M-1'!$A$2:$AZ$9320,MATCH(B109,'Inventaire M-1'!$A:$A,0)-1,MATCH("Cours EUR",'Inventaire M-1'!#REF!,0))))</f>
        <v>#REF!</v>
      </c>
      <c r="G109" s="175"/>
      <c r="H109" s="156" t="e">
        <f>IF(B109="-","",INDEX('Inventaire M'!$A$2:$AW$9305,MATCH(B109,'Inventaire M'!$A:$A,0)-1,MATCH("quantite",'Inventaire M'!#REF!,0)))</f>
        <v>#REF!</v>
      </c>
      <c r="I109" s="156" t="e">
        <f>IF(C109="-","",IF(ISERROR(INDEX('Inventaire M-1'!$A$2:$AZ$9320,MATCH(B109,'Inventaire M-1'!$A:$A,0)-1,MATCH("quantite",'Inventaire M-1'!#REF!,0))),"Buy",INDEX('Inventaire M-1'!$A$2:$AZ$9320,MATCH(B109,'Inventaire M-1'!$A:$A,0)-1,MATCH("quantite",'Inventaire M-1'!#REF!,0))))</f>
        <v>#REF!</v>
      </c>
      <c r="J109" s="175"/>
      <c r="K109" s="155" t="e">
        <f>IF(B109="-","",INDEX('Inventaire M'!$A$2:$AW$9305,MATCH(B109,'Inventaire M'!$A:$A,0)-1,MATCH("poids",'Inventaire M'!#REF!,0)))</f>
        <v>#REF!</v>
      </c>
      <c r="L109" s="155" t="e">
        <f>IF(B109="-","",IF(ISERROR(INDEX('Inventaire M-1'!$A$2:$AZ$9320,MATCH(B109,'Inventaire M-1'!$A:$A,0)-1,MATCH("poids",'Inventaire M-1'!#REF!,0))),"Buy",INDEX('Inventaire M-1'!$A$2:$AZ$9320,MATCH(B109,'Inventaire M-1'!$A:$A,0)-1,MATCH("poids",'Inventaire M-1'!#REF!,0))))</f>
        <v>#REF!</v>
      </c>
      <c r="M109" s="175"/>
      <c r="N109" s="157" t="str">
        <f t="shared" si="6"/>
        <v>0</v>
      </c>
      <c r="O109" s="98" t="str">
        <f t="shared" si="7"/>
        <v/>
      </c>
      <c r="P109" s="80" t="e">
        <f t="shared" si="8"/>
        <v>#REF!</v>
      </c>
      <c r="Q109" s="75">
        <v>8.5E-9</v>
      </c>
      <c r="R109" s="175" t="e">
        <f>IF(OR('Inventaire M-1'!#REF!="Dispo/Liquidité Investie",'Inventaire M-1'!#REF!="Option/Future",'Inventaire M-1'!#REF!="TCN",'Inventaire M-1'!#REF!=""),"-",'Inventaire M-1'!#REF!)</f>
        <v>#REF!</v>
      </c>
      <c r="S109" s="175" t="e">
        <f>IF(OR('Inventaire M-1'!#REF!="Dispo/Liquidité Investie",'Inventaire M-1'!#REF!="Option/Future",'Inventaire M-1'!#REF!="TCN",'Inventaire M-1'!#REF!=""),"-",'Inventaire M-1'!#REF!)</f>
        <v>#REF!</v>
      </c>
      <c r="T109" s="175"/>
      <c r="U109" s="175" t="e">
        <f>IF(R109="-","",INDEX('Inventaire M-1'!$A$2:$AG$9334,MATCH(R109,'Inventaire M-1'!$A:$A,0)-1,MATCH("Cours EUR",'Inventaire M-1'!#REF!,0)))</f>
        <v>#REF!</v>
      </c>
      <c r="V109" s="175" t="e">
        <f>IF(R109="-","",IF(ISERROR(INDEX('Inventaire M'!$A$2:$AD$9319,MATCH(R109,'Inventaire M'!$A:$A,0)-1,MATCH("Cours EUR",'Inventaire M'!#REF!,0))),"Sell",INDEX('Inventaire M'!$A$2:$AD$9319,MATCH(R109,'Inventaire M'!$A:$A,0)-1,MATCH("Cours EUR",'Inventaire M'!#REF!,0))))</f>
        <v>#REF!</v>
      </c>
      <c r="W109" s="175"/>
      <c r="X109" s="156" t="e">
        <f>IF(R109="-","",INDEX('Inventaire M-1'!$A$2:$AG$9334,MATCH(R109,'Inventaire M-1'!$A:$A,0)-1,MATCH("quantite",'Inventaire M-1'!#REF!,0)))</f>
        <v>#REF!</v>
      </c>
      <c r="Y109" s="156" t="e">
        <f>IF(S109="-","",IF(ISERROR(INDEX('Inventaire M'!$A$2:$AD$9319,MATCH(R109,'Inventaire M'!$A:$A,0)-1,MATCH("quantite",'Inventaire M'!#REF!,0))),"Sell",INDEX('Inventaire M'!$A$2:$AD$9319,MATCH(R109,'Inventaire M'!$A:$A,0)-1,MATCH("quantite",'Inventaire M'!#REF!,0))))</f>
        <v>#REF!</v>
      </c>
      <c r="Z109" s="175"/>
      <c r="AA109" s="155" t="e">
        <f>IF(R109="-","",INDEX('Inventaire M-1'!$A$2:$AG$9334,MATCH(R109,'Inventaire M-1'!$A:$A,0)-1,MATCH("poids",'Inventaire M-1'!#REF!,0)))</f>
        <v>#REF!</v>
      </c>
      <c r="AB109" s="155" t="e">
        <f>IF(R109="-","",IF(ISERROR(INDEX('Inventaire M'!$A$2:$AD$9319,MATCH(R109,'Inventaire M'!$A:$A,0)-1,MATCH("poids",'Inventaire M'!#REF!,0))),"Sell",INDEX('Inventaire M'!$A$2:$AD$9319,MATCH(R109,'Inventaire M'!$A:$A,0)-1,MATCH("poids",'Inventaire M'!#REF!,0))))</f>
        <v>#REF!</v>
      </c>
      <c r="AC109" s="175"/>
      <c r="AD109" s="157" t="str">
        <f t="shared" si="9"/>
        <v>0</v>
      </c>
      <c r="AE109" s="98" t="str">
        <f t="shared" si="10"/>
        <v/>
      </c>
      <c r="AF109" s="80" t="e">
        <f t="shared" si="11"/>
        <v>#REF!</v>
      </c>
    </row>
    <row r="110" spans="2:32" outlineLevel="1">
      <c r="B110" s="175" t="e">
        <f>IF(OR('Inventaire M'!#REF!="Dispo/Liquidité Investie",'Inventaire M'!#REF!="Option/Future",'Inventaire M'!#REF!="TCN",'Inventaire M'!#REF!=""),"-",'Inventaire M'!#REF!)</f>
        <v>#REF!</v>
      </c>
      <c r="C110" s="175" t="e">
        <f>IF(OR('Inventaire M'!#REF!="Dispo/Liquidité Investie",'Inventaire M'!#REF!="Option/Future",'Inventaire M'!#REF!="TCN",'Inventaire M'!#REF!=""),"-",'Inventaire M'!#REF!)</f>
        <v>#REF!</v>
      </c>
      <c r="D110" s="175"/>
      <c r="E110" s="175" t="e">
        <f>IF(B110="-","",INDEX('Inventaire M'!$A$2:$AW$9305,MATCH(B110,'Inventaire M'!$A:$A,0)-1,MATCH("Cours EUR",'Inventaire M'!#REF!,0)))</f>
        <v>#REF!</v>
      </c>
      <c r="F110" s="175" t="e">
        <f>IF(B110="-","",IF(ISERROR(INDEX('Inventaire M-1'!$A$2:$AZ$9320,MATCH(B110,'Inventaire M-1'!$A:$A,0)-1,MATCH("Cours EUR",'Inventaire M-1'!#REF!,0))),"Buy",INDEX('Inventaire M-1'!$A$2:$AZ$9320,MATCH(B110,'Inventaire M-1'!$A:$A,0)-1,MATCH("Cours EUR",'Inventaire M-1'!#REF!,0))))</f>
        <v>#REF!</v>
      </c>
      <c r="G110" s="175"/>
      <c r="H110" s="156" t="e">
        <f>IF(B110="-","",INDEX('Inventaire M'!$A$2:$AW$9305,MATCH(B110,'Inventaire M'!$A:$A,0)-1,MATCH("quantite",'Inventaire M'!#REF!,0)))</f>
        <v>#REF!</v>
      </c>
      <c r="I110" s="156" t="e">
        <f>IF(C110="-","",IF(ISERROR(INDEX('Inventaire M-1'!$A$2:$AZ$9320,MATCH(B110,'Inventaire M-1'!$A:$A,0)-1,MATCH("quantite",'Inventaire M-1'!#REF!,0))),"Buy",INDEX('Inventaire M-1'!$A$2:$AZ$9320,MATCH(B110,'Inventaire M-1'!$A:$A,0)-1,MATCH("quantite",'Inventaire M-1'!#REF!,0))))</f>
        <v>#REF!</v>
      </c>
      <c r="J110" s="175"/>
      <c r="K110" s="155" t="e">
        <f>IF(B110="-","",INDEX('Inventaire M'!$A$2:$AW$9305,MATCH(B110,'Inventaire M'!$A:$A,0)-1,MATCH("poids",'Inventaire M'!#REF!,0)))</f>
        <v>#REF!</v>
      </c>
      <c r="L110" s="155" t="e">
        <f>IF(B110="-","",IF(ISERROR(INDEX('Inventaire M-1'!$A$2:$AZ$9320,MATCH(B110,'Inventaire M-1'!$A:$A,0)-1,MATCH("poids",'Inventaire M-1'!#REF!,0))),"Buy",INDEX('Inventaire M-1'!$A$2:$AZ$9320,MATCH(B110,'Inventaire M-1'!$A:$A,0)-1,MATCH("poids",'Inventaire M-1'!#REF!,0))))</f>
        <v>#REF!</v>
      </c>
      <c r="M110" s="175"/>
      <c r="N110" s="157" t="str">
        <f t="shared" si="6"/>
        <v>0</v>
      </c>
      <c r="O110" s="98" t="str">
        <f t="shared" si="7"/>
        <v/>
      </c>
      <c r="P110" s="80" t="e">
        <f t="shared" si="8"/>
        <v>#REF!</v>
      </c>
      <c r="Q110" s="75">
        <v>8.5999999999999993E-9</v>
      </c>
      <c r="R110" s="175" t="e">
        <f>IF(OR('Inventaire M-1'!#REF!="Dispo/Liquidité Investie",'Inventaire M-1'!#REF!="Option/Future",'Inventaire M-1'!#REF!="TCN",'Inventaire M-1'!#REF!=""),"-",'Inventaire M-1'!#REF!)</f>
        <v>#REF!</v>
      </c>
      <c r="S110" s="175" t="e">
        <f>IF(OR('Inventaire M-1'!#REF!="Dispo/Liquidité Investie",'Inventaire M-1'!#REF!="Option/Future",'Inventaire M-1'!#REF!="TCN",'Inventaire M-1'!#REF!=""),"-",'Inventaire M-1'!#REF!)</f>
        <v>#REF!</v>
      </c>
      <c r="T110" s="175"/>
      <c r="U110" s="175" t="e">
        <f>IF(R110="-","",INDEX('Inventaire M-1'!$A$2:$AG$9334,MATCH(R110,'Inventaire M-1'!$A:$A,0)-1,MATCH("Cours EUR",'Inventaire M-1'!#REF!,0)))</f>
        <v>#REF!</v>
      </c>
      <c r="V110" s="175" t="e">
        <f>IF(R110="-","",IF(ISERROR(INDEX('Inventaire M'!$A$2:$AD$9319,MATCH(R110,'Inventaire M'!$A:$A,0)-1,MATCH("Cours EUR",'Inventaire M'!#REF!,0))),"Sell",INDEX('Inventaire M'!$A$2:$AD$9319,MATCH(R110,'Inventaire M'!$A:$A,0)-1,MATCH("Cours EUR",'Inventaire M'!#REF!,0))))</f>
        <v>#REF!</v>
      </c>
      <c r="W110" s="175"/>
      <c r="X110" s="156" t="e">
        <f>IF(R110="-","",INDEX('Inventaire M-1'!$A$2:$AG$9334,MATCH(R110,'Inventaire M-1'!$A:$A,0)-1,MATCH("quantite",'Inventaire M-1'!#REF!,0)))</f>
        <v>#REF!</v>
      </c>
      <c r="Y110" s="156" t="e">
        <f>IF(S110="-","",IF(ISERROR(INDEX('Inventaire M'!$A$2:$AD$9319,MATCH(R110,'Inventaire M'!$A:$A,0)-1,MATCH("quantite",'Inventaire M'!#REF!,0))),"Sell",INDEX('Inventaire M'!$A$2:$AD$9319,MATCH(R110,'Inventaire M'!$A:$A,0)-1,MATCH("quantite",'Inventaire M'!#REF!,0))))</f>
        <v>#REF!</v>
      </c>
      <c r="Z110" s="175"/>
      <c r="AA110" s="155" t="e">
        <f>IF(R110="-","",INDEX('Inventaire M-1'!$A$2:$AG$9334,MATCH(R110,'Inventaire M-1'!$A:$A,0)-1,MATCH("poids",'Inventaire M-1'!#REF!,0)))</f>
        <v>#REF!</v>
      </c>
      <c r="AB110" s="155" t="e">
        <f>IF(R110="-","",IF(ISERROR(INDEX('Inventaire M'!$A$2:$AD$9319,MATCH(R110,'Inventaire M'!$A:$A,0)-1,MATCH("poids",'Inventaire M'!#REF!,0))),"Sell",INDEX('Inventaire M'!$A$2:$AD$9319,MATCH(R110,'Inventaire M'!$A:$A,0)-1,MATCH("poids",'Inventaire M'!#REF!,0))))</f>
        <v>#REF!</v>
      </c>
      <c r="AC110" s="175"/>
      <c r="AD110" s="157" t="str">
        <f t="shared" si="9"/>
        <v>0</v>
      </c>
      <c r="AE110" s="98" t="str">
        <f t="shared" si="10"/>
        <v/>
      </c>
      <c r="AF110" s="80" t="e">
        <f t="shared" si="11"/>
        <v>#REF!</v>
      </c>
    </row>
    <row r="111" spans="2:32" outlineLevel="1">
      <c r="B111" s="175" t="e">
        <f>IF(OR('Inventaire M'!#REF!="Dispo/Liquidité Investie",'Inventaire M'!#REF!="Option/Future",'Inventaire M'!#REF!="TCN",'Inventaire M'!#REF!=""),"-",'Inventaire M'!#REF!)</f>
        <v>#REF!</v>
      </c>
      <c r="C111" s="175" t="e">
        <f>IF(OR('Inventaire M'!#REF!="Dispo/Liquidité Investie",'Inventaire M'!#REF!="Option/Future",'Inventaire M'!#REF!="TCN",'Inventaire M'!#REF!=""),"-",'Inventaire M'!#REF!)</f>
        <v>#REF!</v>
      </c>
      <c r="D111" s="175"/>
      <c r="E111" s="175" t="e">
        <f>IF(B111="-","",INDEX('Inventaire M'!$A$2:$AW$9305,MATCH(B111,'Inventaire M'!$A:$A,0)-1,MATCH("Cours EUR",'Inventaire M'!#REF!,0)))</f>
        <v>#REF!</v>
      </c>
      <c r="F111" s="175" t="e">
        <f>IF(B111="-","",IF(ISERROR(INDEX('Inventaire M-1'!$A$2:$AZ$9320,MATCH(B111,'Inventaire M-1'!$A:$A,0)-1,MATCH("Cours EUR",'Inventaire M-1'!#REF!,0))),"Buy",INDEX('Inventaire M-1'!$A$2:$AZ$9320,MATCH(B111,'Inventaire M-1'!$A:$A,0)-1,MATCH("Cours EUR",'Inventaire M-1'!#REF!,0))))</f>
        <v>#REF!</v>
      </c>
      <c r="G111" s="175"/>
      <c r="H111" s="156" t="e">
        <f>IF(B111="-","",INDEX('Inventaire M'!$A$2:$AW$9305,MATCH(B111,'Inventaire M'!$A:$A,0)-1,MATCH("quantite",'Inventaire M'!#REF!,0)))</f>
        <v>#REF!</v>
      </c>
      <c r="I111" s="156" t="e">
        <f>IF(C111="-","",IF(ISERROR(INDEX('Inventaire M-1'!$A$2:$AZ$9320,MATCH(B111,'Inventaire M-1'!$A:$A,0)-1,MATCH("quantite",'Inventaire M-1'!#REF!,0))),"Buy",INDEX('Inventaire M-1'!$A$2:$AZ$9320,MATCH(B111,'Inventaire M-1'!$A:$A,0)-1,MATCH("quantite",'Inventaire M-1'!#REF!,0))))</f>
        <v>#REF!</v>
      </c>
      <c r="J111" s="175"/>
      <c r="K111" s="155" t="e">
        <f>IF(B111="-","",INDEX('Inventaire M'!$A$2:$AW$9305,MATCH(B111,'Inventaire M'!$A:$A,0)-1,MATCH("poids",'Inventaire M'!#REF!,0)))</f>
        <v>#REF!</v>
      </c>
      <c r="L111" s="155" t="e">
        <f>IF(B111="-","",IF(ISERROR(INDEX('Inventaire M-1'!$A$2:$AZ$9320,MATCH(B111,'Inventaire M-1'!$A:$A,0)-1,MATCH("poids",'Inventaire M-1'!#REF!,0))),"Buy",INDEX('Inventaire M-1'!$A$2:$AZ$9320,MATCH(B111,'Inventaire M-1'!$A:$A,0)-1,MATCH("poids",'Inventaire M-1'!#REF!,0))))</f>
        <v>#REF!</v>
      </c>
      <c r="M111" s="175"/>
      <c r="N111" s="157" t="str">
        <f t="shared" si="6"/>
        <v>0</v>
      </c>
      <c r="O111" s="98" t="str">
        <f t="shared" si="7"/>
        <v/>
      </c>
      <c r="P111" s="80" t="e">
        <f t="shared" si="8"/>
        <v>#REF!</v>
      </c>
      <c r="Q111" s="75">
        <v>8.7000000000000001E-9</v>
      </c>
      <c r="R111" s="175" t="e">
        <f>IF(OR('Inventaire M-1'!#REF!="Dispo/Liquidité Investie",'Inventaire M-1'!#REF!="Option/Future",'Inventaire M-1'!#REF!="TCN",'Inventaire M-1'!#REF!=""),"-",'Inventaire M-1'!#REF!)</f>
        <v>#REF!</v>
      </c>
      <c r="S111" s="175" t="e">
        <f>IF(OR('Inventaire M-1'!#REF!="Dispo/Liquidité Investie",'Inventaire M-1'!#REF!="Option/Future",'Inventaire M-1'!#REF!="TCN",'Inventaire M-1'!#REF!=""),"-",'Inventaire M-1'!#REF!)</f>
        <v>#REF!</v>
      </c>
      <c r="T111" s="175"/>
      <c r="U111" s="175" t="e">
        <f>IF(R111="-","",INDEX('Inventaire M-1'!$A$2:$AG$9334,MATCH(R111,'Inventaire M-1'!$A:$A,0)-1,MATCH("Cours EUR",'Inventaire M-1'!#REF!,0)))</f>
        <v>#REF!</v>
      </c>
      <c r="V111" s="175" t="e">
        <f>IF(R111="-","",IF(ISERROR(INDEX('Inventaire M'!$A$2:$AD$9319,MATCH(R111,'Inventaire M'!$A:$A,0)-1,MATCH("Cours EUR",'Inventaire M'!#REF!,0))),"Sell",INDEX('Inventaire M'!$A$2:$AD$9319,MATCH(R111,'Inventaire M'!$A:$A,0)-1,MATCH("Cours EUR",'Inventaire M'!#REF!,0))))</f>
        <v>#REF!</v>
      </c>
      <c r="W111" s="175"/>
      <c r="X111" s="156" t="e">
        <f>IF(R111="-","",INDEX('Inventaire M-1'!$A$2:$AG$9334,MATCH(R111,'Inventaire M-1'!$A:$A,0)-1,MATCH("quantite",'Inventaire M-1'!#REF!,0)))</f>
        <v>#REF!</v>
      </c>
      <c r="Y111" s="156" t="e">
        <f>IF(S111="-","",IF(ISERROR(INDEX('Inventaire M'!$A$2:$AD$9319,MATCH(R111,'Inventaire M'!$A:$A,0)-1,MATCH("quantite",'Inventaire M'!#REF!,0))),"Sell",INDEX('Inventaire M'!$A$2:$AD$9319,MATCH(R111,'Inventaire M'!$A:$A,0)-1,MATCH("quantite",'Inventaire M'!#REF!,0))))</f>
        <v>#REF!</v>
      </c>
      <c r="Z111" s="175"/>
      <c r="AA111" s="155" t="e">
        <f>IF(R111="-","",INDEX('Inventaire M-1'!$A$2:$AG$9334,MATCH(R111,'Inventaire M-1'!$A:$A,0)-1,MATCH("poids",'Inventaire M-1'!#REF!,0)))</f>
        <v>#REF!</v>
      </c>
      <c r="AB111" s="155" t="e">
        <f>IF(R111="-","",IF(ISERROR(INDEX('Inventaire M'!$A$2:$AD$9319,MATCH(R111,'Inventaire M'!$A:$A,0)-1,MATCH("poids",'Inventaire M'!#REF!,0))),"Sell",INDEX('Inventaire M'!$A$2:$AD$9319,MATCH(R111,'Inventaire M'!$A:$A,0)-1,MATCH("poids",'Inventaire M'!#REF!,0))))</f>
        <v>#REF!</v>
      </c>
      <c r="AC111" s="175"/>
      <c r="AD111" s="157" t="str">
        <f t="shared" si="9"/>
        <v>0</v>
      </c>
      <c r="AE111" s="98" t="str">
        <f t="shared" si="10"/>
        <v/>
      </c>
      <c r="AF111" s="80" t="e">
        <f t="shared" si="11"/>
        <v>#REF!</v>
      </c>
    </row>
    <row r="112" spans="2:32" outlineLevel="1">
      <c r="B112" s="175" t="e">
        <f>IF(OR('Inventaire M'!#REF!="Dispo/Liquidité Investie",'Inventaire M'!#REF!="Option/Future",'Inventaire M'!#REF!="TCN",'Inventaire M'!#REF!=""),"-",'Inventaire M'!#REF!)</f>
        <v>#REF!</v>
      </c>
      <c r="C112" s="175" t="e">
        <f>IF(OR('Inventaire M'!#REF!="Dispo/Liquidité Investie",'Inventaire M'!#REF!="Option/Future",'Inventaire M'!#REF!="TCN",'Inventaire M'!#REF!=""),"-",'Inventaire M'!#REF!)</f>
        <v>#REF!</v>
      </c>
      <c r="D112" s="175"/>
      <c r="E112" s="175" t="e">
        <f>IF(B112="-","",INDEX('Inventaire M'!$A$2:$AW$9305,MATCH(B112,'Inventaire M'!$A:$A,0)-1,MATCH("Cours EUR",'Inventaire M'!#REF!,0)))</f>
        <v>#REF!</v>
      </c>
      <c r="F112" s="175" t="e">
        <f>IF(B112="-","",IF(ISERROR(INDEX('Inventaire M-1'!$A$2:$AZ$9320,MATCH(B112,'Inventaire M-1'!$A:$A,0)-1,MATCH("Cours EUR",'Inventaire M-1'!#REF!,0))),"Buy",INDEX('Inventaire M-1'!$A$2:$AZ$9320,MATCH(B112,'Inventaire M-1'!$A:$A,0)-1,MATCH("Cours EUR",'Inventaire M-1'!#REF!,0))))</f>
        <v>#REF!</v>
      </c>
      <c r="G112" s="175"/>
      <c r="H112" s="156" t="e">
        <f>IF(B112="-","",INDEX('Inventaire M'!$A$2:$AW$9305,MATCH(B112,'Inventaire M'!$A:$A,0)-1,MATCH("quantite",'Inventaire M'!#REF!,0)))</f>
        <v>#REF!</v>
      </c>
      <c r="I112" s="156" t="e">
        <f>IF(C112="-","",IF(ISERROR(INDEX('Inventaire M-1'!$A$2:$AZ$9320,MATCH(B112,'Inventaire M-1'!$A:$A,0)-1,MATCH("quantite",'Inventaire M-1'!#REF!,0))),"Buy",INDEX('Inventaire M-1'!$A$2:$AZ$9320,MATCH(B112,'Inventaire M-1'!$A:$A,0)-1,MATCH("quantite",'Inventaire M-1'!#REF!,0))))</f>
        <v>#REF!</v>
      </c>
      <c r="J112" s="175"/>
      <c r="K112" s="155" t="e">
        <f>IF(B112="-","",INDEX('Inventaire M'!$A$2:$AW$9305,MATCH(B112,'Inventaire M'!$A:$A,0)-1,MATCH("poids",'Inventaire M'!#REF!,0)))</f>
        <v>#REF!</v>
      </c>
      <c r="L112" s="155" t="e">
        <f>IF(B112="-","",IF(ISERROR(INDEX('Inventaire M-1'!$A$2:$AZ$9320,MATCH(B112,'Inventaire M-1'!$A:$A,0)-1,MATCH("poids",'Inventaire M-1'!#REF!,0))),"Buy",INDEX('Inventaire M-1'!$A$2:$AZ$9320,MATCH(B112,'Inventaire M-1'!$A:$A,0)-1,MATCH("poids",'Inventaire M-1'!#REF!,0))))</f>
        <v>#REF!</v>
      </c>
      <c r="M112" s="175"/>
      <c r="N112" s="157" t="str">
        <f t="shared" si="6"/>
        <v>0</v>
      </c>
      <c r="O112" s="98" t="str">
        <f t="shared" si="7"/>
        <v/>
      </c>
      <c r="P112" s="80" t="e">
        <f t="shared" si="8"/>
        <v>#REF!</v>
      </c>
      <c r="Q112" s="75">
        <v>8.7999999999999994E-9</v>
      </c>
      <c r="R112" s="175" t="e">
        <f>IF(OR('Inventaire M-1'!#REF!="Dispo/Liquidité Investie",'Inventaire M-1'!#REF!="Option/Future",'Inventaire M-1'!#REF!="TCN",'Inventaire M-1'!#REF!=""),"-",'Inventaire M-1'!#REF!)</f>
        <v>#REF!</v>
      </c>
      <c r="S112" s="175" t="e">
        <f>IF(OR('Inventaire M-1'!#REF!="Dispo/Liquidité Investie",'Inventaire M-1'!#REF!="Option/Future",'Inventaire M-1'!#REF!="TCN",'Inventaire M-1'!#REF!=""),"-",'Inventaire M-1'!#REF!)</f>
        <v>#REF!</v>
      </c>
      <c r="T112" s="175"/>
      <c r="U112" s="175" t="e">
        <f>IF(R112="-","",INDEX('Inventaire M-1'!$A$2:$AG$9334,MATCH(R112,'Inventaire M-1'!$A:$A,0)-1,MATCH("Cours EUR",'Inventaire M-1'!#REF!,0)))</f>
        <v>#REF!</v>
      </c>
      <c r="V112" s="175" t="e">
        <f>IF(R112="-","",IF(ISERROR(INDEX('Inventaire M'!$A$2:$AD$9319,MATCH(R112,'Inventaire M'!$A:$A,0)-1,MATCH("Cours EUR",'Inventaire M'!#REF!,0))),"Sell",INDEX('Inventaire M'!$A$2:$AD$9319,MATCH(R112,'Inventaire M'!$A:$A,0)-1,MATCH("Cours EUR",'Inventaire M'!#REF!,0))))</f>
        <v>#REF!</v>
      </c>
      <c r="W112" s="175"/>
      <c r="X112" s="156" t="e">
        <f>IF(R112="-","",INDEX('Inventaire M-1'!$A$2:$AG$9334,MATCH(R112,'Inventaire M-1'!$A:$A,0)-1,MATCH("quantite",'Inventaire M-1'!#REF!,0)))</f>
        <v>#REF!</v>
      </c>
      <c r="Y112" s="156" t="e">
        <f>IF(S112="-","",IF(ISERROR(INDEX('Inventaire M'!$A$2:$AD$9319,MATCH(R112,'Inventaire M'!$A:$A,0)-1,MATCH("quantite",'Inventaire M'!#REF!,0))),"Sell",INDEX('Inventaire M'!$A$2:$AD$9319,MATCH(R112,'Inventaire M'!$A:$A,0)-1,MATCH("quantite",'Inventaire M'!#REF!,0))))</f>
        <v>#REF!</v>
      </c>
      <c r="Z112" s="175"/>
      <c r="AA112" s="155" t="e">
        <f>IF(R112="-","",INDEX('Inventaire M-1'!$A$2:$AG$9334,MATCH(R112,'Inventaire M-1'!$A:$A,0)-1,MATCH("poids",'Inventaire M-1'!#REF!,0)))</f>
        <v>#REF!</v>
      </c>
      <c r="AB112" s="155" t="e">
        <f>IF(R112="-","",IF(ISERROR(INDEX('Inventaire M'!$A$2:$AD$9319,MATCH(R112,'Inventaire M'!$A:$A,0)-1,MATCH("poids",'Inventaire M'!#REF!,0))),"Sell",INDEX('Inventaire M'!$A$2:$AD$9319,MATCH(R112,'Inventaire M'!$A:$A,0)-1,MATCH("poids",'Inventaire M'!#REF!,0))))</f>
        <v>#REF!</v>
      </c>
      <c r="AC112" s="175"/>
      <c r="AD112" s="157" t="str">
        <f t="shared" si="9"/>
        <v>0</v>
      </c>
      <c r="AE112" s="98" t="str">
        <f t="shared" si="10"/>
        <v/>
      </c>
      <c r="AF112" s="80" t="e">
        <f t="shared" si="11"/>
        <v>#REF!</v>
      </c>
    </row>
    <row r="113" spans="2:32" outlineLevel="1">
      <c r="B113" s="175" t="e">
        <f>IF(OR('Inventaire M'!#REF!="Dispo/Liquidité Investie",'Inventaire M'!#REF!="Option/Future",'Inventaire M'!#REF!="TCN",'Inventaire M'!#REF!=""),"-",'Inventaire M'!#REF!)</f>
        <v>#REF!</v>
      </c>
      <c r="C113" s="175" t="e">
        <f>IF(OR('Inventaire M'!#REF!="Dispo/Liquidité Investie",'Inventaire M'!#REF!="Option/Future",'Inventaire M'!#REF!="TCN",'Inventaire M'!#REF!=""),"-",'Inventaire M'!#REF!)</f>
        <v>#REF!</v>
      </c>
      <c r="D113" s="175"/>
      <c r="E113" s="175" t="e">
        <f>IF(B113="-","",INDEX('Inventaire M'!$A$2:$AW$9305,MATCH(B113,'Inventaire M'!$A:$A,0)-1,MATCH("Cours EUR",'Inventaire M'!#REF!,0)))</f>
        <v>#REF!</v>
      </c>
      <c r="F113" s="175" t="e">
        <f>IF(B113="-","",IF(ISERROR(INDEX('Inventaire M-1'!$A$2:$AZ$9320,MATCH(B113,'Inventaire M-1'!$A:$A,0)-1,MATCH("Cours EUR",'Inventaire M-1'!#REF!,0))),"Buy",INDEX('Inventaire M-1'!$A$2:$AZ$9320,MATCH(B113,'Inventaire M-1'!$A:$A,0)-1,MATCH("Cours EUR",'Inventaire M-1'!#REF!,0))))</f>
        <v>#REF!</v>
      </c>
      <c r="G113" s="175"/>
      <c r="H113" s="156" t="e">
        <f>IF(B113="-","",INDEX('Inventaire M'!$A$2:$AW$9305,MATCH(B113,'Inventaire M'!$A:$A,0)-1,MATCH("quantite",'Inventaire M'!#REF!,0)))</f>
        <v>#REF!</v>
      </c>
      <c r="I113" s="156" t="e">
        <f>IF(C113="-","",IF(ISERROR(INDEX('Inventaire M-1'!$A$2:$AZ$9320,MATCH(B113,'Inventaire M-1'!$A:$A,0)-1,MATCH("quantite",'Inventaire M-1'!#REF!,0))),"Buy",INDEX('Inventaire M-1'!$A$2:$AZ$9320,MATCH(B113,'Inventaire M-1'!$A:$A,0)-1,MATCH("quantite",'Inventaire M-1'!#REF!,0))))</f>
        <v>#REF!</v>
      </c>
      <c r="J113" s="175"/>
      <c r="K113" s="155" t="e">
        <f>IF(B113="-","",INDEX('Inventaire M'!$A$2:$AW$9305,MATCH(B113,'Inventaire M'!$A:$A,0)-1,MATCH("poids",'Inventaire M'!#REF!,0)))</f>
        <v>#REF!</v>
      </c>
      <c r="L113" s="155" t="e">
        <f>IF(B113="-","",IF(ISERROR(INDEX('Inventaire M-1'!$A$2:$AZ$9320,MATCH(B113,'Inventaire M-1'!$A:$A,0)-1,MATCH("poids",'Inventaire M-1'!#REF!,0))),"Buy",INDEX('Inventaire M-1'!$A$2:$AZ$9320,MATCH(B113,'Inventaire M-1'!$A:$A,0)-1,MATCH("poids",'Inventaire M-1'!#REF!,0))))</f>
        <v>#REF!</v>
      </c>
      <c r="M113" s="175"/>
      <c r="N113" s="157" t="str">
        <f t="shared" si="6"/>
        <v>0</v>
      </c>
      <c r="O113" s="98" t="str">
        <f t="shared" si="7"/>
        <v/>
      </c>
      <c r="P113" s="80" t="e">
        <f t="shared" si="8"/>
        <v>#REF!</v>
      </c>
      <c r="Q113" s="75">
        <v>8.9000000000000003E-9</v>
      </c>
      <c r="R113" s="175" t="e">
        <f>IF(OR('Inventaire M-1'!#REF!="Dispo/Liquidité Investie",'Inventaire M-1'!#REF!="Option/Future",'Inventaire M-1'!#REF!="TCN",'Inventaire M-1'!#REF!=""),"-",'Inventaire M-1'!#REF!)</f>
        <v>#REF!</v>
      </c>
      <c r="S113" s="175" t="e">
        <f>IF(OR('Inventaire M-1'!#REF!="Dispo/Liquidité Investie",'Inventaire M-1'!#REF!="Option/Future",'Inventaire M-1'!#REF!="TCN",'Inventaire M-1'!#REF!=""),"-",'Inventaire M-1'!#REF!)</f>
        <v>#REF!</v>
      </c>
      <c r="T113" s="175"/>
      <c r="U113" s="175" t="e">
        <f>IF(R113="-","",INDEX('Inventaire M-1'!$A$2:$AG$9334,MATCH(R113,'Inventaire M-1'!$A:$A,0)-1,MATCH("Cours EUR",'Inventaire M-1'!#REF!,0)))</f>
        <v>#REF!</v>
      </c>
      <c r="V113" s="175" t="e">
        <f>IF(R113="-","",IF(ISERROR(INDEX('Inventaire M'!$A$2:$AD$9319,MATCH(R113,'Inventaire M'!$A:$A,0)-1,MATCH("Cours EUR",'Inventaire M'!#REF!,0))),"Sell",INDEX('Inventaire M'!$A$2:$AD$9319,MATCH(R113,'Inventaire M'!$A:$A,0)-1,MATCH("Cours EUR",'Inventaire M'!#REF!,0))))</f>
        <v>#REF!</v>
      </c>
      <c r="W113" s="175"/>
      <c r="X113" s="156" t="e">
        <f>IF(R113="-","",INDEX('Inventaire M-1'!$A$2:$AG$9334,MATCH(R113,'Inventaire M-1'!$A:$A,0)-1,MATCH("quantite",'Inventaire M-1'!#REF!,0)))</f>
        <v>#REF!</v>
      </c>
      <c r="Y113" s="156" t="e">
        <f>IF(S113="-","",IF(ISERROR(INDEX('Inventaire M'!$A$2:$AD$9319,MATCH(R113,'Inventaire M'!$A:$A,0)-1,MATCH("quantite",'Inventaire M'!#REF!,0))),"Sell",INDEX('Inventaire M'!$A$2:$AD$9319,MATCH(R113,'Inventaire M'!$A:$A,0)-1,MATCH("quantite",'Inventaire M'!#REF!,0))))</f>
        <v>#REF!</v>
      </c>
      <c r="Z113" s="175"/>
      <c r="AA113" s="155" t="e">
        <f>IF(R113="-","",INDEX('Inventaire M-1'!$A$2:$AG$9334,MATCH(R113,'Inventaire M-1'!$A:$A,0)-1,MATCH("poids",'Inventaire M-1'!#REF!,0)))</f>
        <v>#REF!</v>
      </c>
      <c r="AB113" s="155" t="e">
        <f>IF(R113="-","",IF(ISERROR(INDEX('Inventaire M'!$A$2:$AD$9319,MATCH(R113,'Inventaire M'!$A:$A,0)-1,MATCH("poids",'Inventaire M'!#REF!,0))),"Sell",INDEX('Inventaire M'!$A$2:$AD$9319,MATCH(R113,'Inventaire M'!$A:$A,0)-1,MATCH("poids",'Inventaire M'!#REF!,0))))</f>
        <v>#REF!</v>
      </c>
      <c r="AC113" s="175"/>
      <c r="AD113" s="157" t="str">
        <f t="shared" si="9"/>
        <v>0</v>
      </c>
      <c r="AE113" s="98" t="str">
        <f t="shared" si="10"/>
        <v/>
      </c>
      <c r="AF113" s="80" t="e">
        <f t="shared" si="11"/>
        <v>#REF!</v>
      </c>
    </row>
    <row r="114" spans="2:32" outlineLevel="1">
      <c r="B114" s="175" t="e">
        <f>IF(OR('Inventaire M'!#REF!="Dispo/Liquidité Investie",'Inventaire M'!#REF!="Option/Future",'Inventaire M'!#REF!="TCN",'Inventaire M'!#REF!=""),"-",'Inventaire M'!#REF!)</f>
        <v>#REF!</v>
      </c>
      <c r="C114" s="175" t="e">
        <f>IF(OR('Inventaire M'!#REF!="Dispo/Liquidité Investie",'Inventaire M'!#REF!="Option/Future",'Inventaire M'!#REF!="TCN",'Inventaire M'!#REF!=""),"-",'Inventaire M'!#REF!)</f>
        <v>#REF!</v>
      </c>
      <c r="D114" s="175"/>
      <c r="E114" s="175" t="e">
        <f>IF(B114="-","",INDEX('Inventaire M'!$A$2:$AW$9305,MATCH(B114,'Inventaire M'!$A:$A,0)-1,MATCH("Cours EUR",'Inventaire M'!#REF!,0)))</f>
        <v>#REF!</v>
      </c>
      <c r="F114" s="175" t="e">
        <f>IF(B114="-","",IF(ISERROR(INDEX('Inventaire M-1'!$A$2:$AZ$9320,MATCH(B114,'Inventaire M-1'!$A:$A,0)-1,MATCH("Cours EUR",'Inventaire M-1'!#REF!,0))),"Buy",INDEX('Inventaire M-1'!$A$2:$AZ$9320,MATCH(B114,'Inventaire M-1'!$A:$A,0)-1,MATCH("Cours EUR",'Inventaire M-1'!#REF!,0))))</f>
        <v>#REF!</v>
      </c>
      <c r="G114" s="175"/>
      <c r="H114" s="156" t="e">
        <f>IF(B114="-","",INDEX('Inventaire M'!$A$2:$AW$9305,MATCH(B114,'Inventaire M'!$A:$A,0)-1,MATCH("quantite",'Inventaire M'!#REF!,0)))</f>
        <v>#REF!</v>
      </c>
      <c r="I114" s="156" t="e">
        <f>IF(C114="-","",IF(ISERROR(INDEX('Inventaire M-1'!$A$2:$AZ$9320,MATCH(B114,'Inventaire M-1'!$A:$A,0)-1,MATCH("quantite",'Inventaire M-1'!#REF!,0))),"Buy",INDEX('Inventaire M-1'!$A$2:$AZ$9320,MATCH(B114,'Inventaire M-1'!$A:$A,0)-1,MATCH("quantite",'Inventaire M-1'!#REF!,0))))</f>
        <v>#REF!</v>
      </c>
      <c r="J114" s="175"/>
      <c r="K114" s="155" t="e">
        <f>IF(B114="-","",INDEX('Inventaire M'!$A$2:$AW$9305,MATCH(B114,'Inventaire M'!$A:$A,0)-1,MATCH("poids",'Inventaire M'!#REF!,0)))</f>
        <v>#REF!</v>
      </c>
      <c r="L114" s="155" t="e">
        <f>IF(B114="-","",IF(ISERROR(INDEX('Inventaire M-1'!$A$2:$AZ$9320,MATCH(B114,'Inventaire M-1'!$A:$A,0)-1,MATCH("poids",'Inventaire M-1'!#REF!,0))),"Buy",INDEX('Inventaire M-1'!$A$2:$AZ$9320,MATCH(B114,'Inventaire M-1'!$A:$A,0)-1,MATCH("poids",'Inventaire M-1'!#REF!,0))))</f>
        <v>#REF!</v>
      </c>
      <c r="M114" s="175"/>
      <c r="N114" s="157" t="str">
        <f t="shared" si="6"/>
        <v>0</v>
      </c>
      <c r="O114" s="98" t="str">
        <f t="shared" si="7"/>
        <v/>
      </c>
      <c r="P114" s="80" t="e">
        <f t="shared" si="8"/>
        <v>#REF!</v>
      </c>
      <c r="Q114" s="75">
        <v>8.9999999999999995E-9</v>
      </c>
      <c r="R114" s="175" t="e">
        <f>IF(OR('Inventaire M-1'!#REF!="Dispo/Liquidité Investie",'Inventaire M-1'!#REF!="Option/Future",'Inventaire M-1'!#REF!="TCN",'Inventaire M-1'!#REF!=""),"-",'Inventaire M-1'!#REF!)</f>
        <v>#REF!</v>
      </c>
      <c r="S114" s="175" t="e">
        <f>IF(OR('Inventaire M-1'!#REF!="Dispo/Liquidité Investie",'Inventaire M-1'!#REF!="Option/Future",'Inventaire M-1'!#REF!="TCN",'Inventaire M-1'!#REF!=""),"-",'Inventaire M-1'!#REF!)</f>
        <v>#REF!</v>
      </c>
      <c r="T114" s="175"/>
      <c r="U114" s="175" t="e">
        <f>IF(R114="-","",INDEX('Inventaire M-1'!$A$2:$AG$9334,MATCH(R114,'Inventaire M-1'!$A:$A,0)-1,MATCH("Cours EUR",'Inventaire M-1'!#REF!,0)))</f>
        <v>#REF!</v>
      </c>
      <c r="V114" s="175" t="e">
        <f>IF(R114="-","",IF(ISERROR(INDEX('Inventaire M'!$A$2:$AD$9319,MATCH(R114,'Inventaire M'!$A:$A,0)-1,MATCH("Cours EUR",'Inventaire M'!#REF!,0))),"Sell",INDEX('Inventaire M'!$A$2:$AD$9319,MATCH(R114,'Inventaire M'!$A:$A,0)-1,MATCH("Cours EUR",'Inventaire M'!#REF!,0))))</f>
        <v>#REF!</v>
      </c>
      <c r="W114" s="175"/>
      <c r="X114" s="156" t="e">
        <f>IF(R114="-","",INDEX('Inventaire M-1'!$A$2:$AG$9334,MATCH(R114,'Inventaire M-1'!$A:$A,0)-1,MATCH("quantite",'Inventaire M-1'!#REF!,0)))</f>
        <v>#REF!</v>
      </c>
      <c r="Y114" s="156" t="e">
        <f>IF(S114="-","",IF(ISERROR(INDEX('Inventaire M'!$A$2:$AD$9319,MATCH(R114,'Inventaire M'!$A:$A,0)-1,MATCH("quantite",'Inventaire M'!#REF!,0))),"Sell",INDEX('Inventaire M'!$A$2:$AD$9319,MATCH(R114,'Inventaire M'!$A:$A,0)-1,MATCH("quantite",'Inventaire M'!#REF!,0))))</f>
        <v>#REF!</v>
      </c>
      <c r="Z114" s="175"/>
      <c r="AA114" s="155" t="e">
        <f>IF(R114="-","",INDEX('Inventaire M-1'!$A$2:$AG$9334,MATCH(R114,'Inventaire M-1'!$A:$A,0)-1,MATCH("poids",'Inventaire M-1'!#REF!,0)))</f>
        <v>#REF!</v>
      </c>
      <c r="AB114" s="155" t="e">
        <f>IF(R114="-","",IF(ISERROR(INDEX('Inventaire M'!$A$2:$AD$9319,MATCH(R114,'Inventaire M'!$A:$A,0)-1,MATCH("poids",'Inventaire M'!#REF!,0))),"Sell",INDEX('Inventaire M'!$A$2:$AD$9319,MATCH(R114,'Inventaire M'!$A:$A,0)-1,MATCH("poids",'Inventaire M'!#REF!,0))))</f>
        <v>#REF!</v>
      </c>
      <c r="AC114" s="175"/>
      <c r="AD114" s="157" t="str">
        <f t="shared" si="9"/>
        <v>0</v>
      </c>
      <c r="AE114" s="98" t="str">
        <f t="shared" si="10"/>
        <v/>
      </c>
      <c r="AF114" s="80" t="e">
        <f t="shared" si="11"/>
        <v>#REF!</v>
      </c>
    </row>
    <row r="115" spans="2:32" outlineLevel="1">
      <c r="B115" s="175" t="e">
        <f>IF(OR('Inventaire M'!#REF!="Dispo/Liquidité Investie",'Inventaire M'!#REF!="Option/Future",'Inventaire M'!#REF!="TCN",'Inventaire M'!#REF!=""),"-",'Inventaire M'!#REF!)</f>
        <v>#REF!</v>
      </c>
      <c r="C115" s="175" t="e">
        <f>IF(OR('Inventaire M'!#REF!="Dispo/Liquidité Investie",'Inventaire M'!#REF!="Option/Future",'Inventaire M'!#REF!="TCN",'Inventaire M'!#REF!=""),"-",'Inventaire M'!#REF!)</f>
        <v>#REF!</v>
      </c>
      <c r="D115" s="175"/>
      <c r="E115" s="175" t="e">
        <f>IF(B115="-","",INDEX('Inventaire M'!$A$2:$AW$9305,MATCH(B115,'Inventaire M'!$A:$A,0)-1,MATCH("Cours EUR",'Inventaire M'!#REF!,0)))</f>
        <v>#REF!</v>
      </c>
      <c r="F115" s="175" t="e">
        <f>IF(B115="-","",IF(ISERROR(INDEX('Inventaire M-1'!$A$2:$AZ$9320,MATCH(B115,'Inventaire M-1'!$A:$A,0)-1,MATCH("Cours EUR",'Inventaire M-1'!#REF!,0))),"Buy",INDEX('Inventaire M-1'!$A$2:$AZ$9320,MATCH(B115,'Inventaire M-1'!$A:$A,0)-1,MATCH("Cours EUR",'Inventaire M-1'!#REF!,0))))</f>
        <v>#REF!</v>
      </c>
      <c r="G115" s="175"/>
      <c r="H115" s="156" t="e">
        <f>IF(B115="-","",INDEX('Inventaire M'!$A$2:$AW$9305,MATCH(B115,'Inventaire M'!$A:$A,0)-1,MATCH("quantite",'Inventaire M'!#REF!,0)))</f>
        <v>#REF!</v>
      </c>
      <c r="I115" s="156" t="e">
        <f>IF(C115="-","",IF(ISERROR(INDEX('Inventaire M-1'!$A$2:$AZ$9320,MATCH(B115,'Inventaire M-1'!$A:$A,0)-1,MATCH("quantite",'Inventaire M-1'!#REF!,0))),"Buy",INDEX('Inventaire M-1'!$A$2:$AZ$9320,MATCH(B115,'Inventaire M-1'!$A:$A,0)-1,MATCH("quantite",'Inventaire M-1'!#REF!,0))))</f>
        <v>#REF!</v>
      </c>
      <c r="J115" s="175"/>
      <c r="K115" s="155" t="e">
        <f>IF(B115="-","",INDEX('Inventaire M'!$A$2:$AW$9305,MATCH(B115,'Inventaire M'!$A:$A,0)-1,MATCH("poids",'Inventaire M'!#REF!,0)))</f>
        <v>#REF!</v>
      </c>
      <c r="L115" s="155" t="e">
        <f>IF(B115="-","",IF(ISERROR(INDEX('Inventaire M-1'!$A$2:$AZ$9320,MATCH(B115,'Inventaire M-1'!$A:$A,0)-1,MATCH("poids",'Inventaire M-1'!#REF!,0))),"Buy",INDEX('Inventaire M-1'!$A$2:$AZ$9320,MATCH(B115,'Inventaire M-1'!$A:$A,0)-1,MATCH("poids",'Inventaire M-1'!#REF!,0))))</f>
        <v>#REF!</v>
      </c>
      <c r="M115" s="175"/>
      <c r="N115" s="157" t="str">
        <f t="shared" si="6"/>
        <v>0</v>
      </c>
      <c r="O115" s="98" t="str">
        <f t="shared" si="7"/>
        <v/>
      </c>
      <c r="P115" s="80" t="e">
        <f t="shared" si="8"/>
        <v>#REF!</v>
      </c>
      <c r="Q115" s="75">
        <v>9.1000000000000004E-9</v>
      </c>
      <c r="R115" s="175" t="e">
        <f>IF(OR('Inventaire M-1'!#REF!="Dispo/Liquidité Investie",'Inventaire M-1'!#REF!="Option/Future",'Inventaire M-1'!#REF!="TCN",'Inventaire M-1'!#REF!=""),"-",'Inventaire M-1'!#REF!)</f>
        <v>#REF!</v>
      </c>
      <c r="S115" s="175" t="e">
        <f>IF(OR('Inventaire M-1'!#REF!="Dispo/Liquidité Investie",'Inventaire M-1'!#REF!="Option/Future",'Inventaire M-1'!#REF!="TCN",'Inventaire M-1'!#REF!=""),"-",'Inventaire M-1'!#REF!)</f>
        <v>#REF!</v>
      </c>
      <c r="T115" s="175"/>
      <c r="U115" s="175" t="e">
        <f>IF(R115="-","",INDEX('Inventaire M-1'!$A$2:$AG$9334,MATCH(R115,'Inventaire M-1'!$A:$A,0)-1,MATCH("Cours EUR",'Inventaire M-1'!#REF!,0)))</f>
        <v>#REF!</v>
      </c>
      <c r="V115" s="175" t="e">
        <f>IF(R115="-","",IF(ISERROR(INDEX('Inventaire M'!$A$2:$AD$9319,MATCH(R115,'Inventaire M'!$A:$A,0)-1,MATCH("Cours EUR",'Inventaire M'!#REF!,0))),"Sell",INDEX('Inventaire M'!$A$2:$AD$9319,MATCH(R115,'Inventaire M'!$A:$A,0)-1,MATCH("Cours EUR",'Inventaire M'!#REF!,0))))</f>
        <v>#REF!</v>
      </c>
      <c r="W115" s="175"/>
      <c r="X115" s="156" t="e">
        <f>IF(R115="-","",INDEX('Inventaire M-1'!$A$2:$AG$9334,MATCH(R115,'Inventaire M-1'!$A:$A,0)-1,MATCH("quantite",'Inventaire M-1'!#REF!,0)))</f>
        <v>#REF!</v>
      </c>
      <c r="Y115" s="156" t="e">
        <f>IF(S115="-","",IF(ISERROR(INDEX('Inventaire M'!$A$2:$AD$9319,MATCH(R115,'Inventaire M'!$A:$A,0)-1,MATCH("quantite",'Inventaire M'!#REF!,0))),"Sell",INDEX('Inventaire M'!$A$2:$AD$9319,MATCH(R115,'Inventaire M'!$A:$A,0)-1,MATCH("quantite",'Inventaire M'!#REF!,0))))</f>
        <v>#REF!</v>
      </c>
      <c r="Z115" s="175"/>
      <c r="AA115" s="155" t="e">
        <f>IF(R115="-","",INDEX('Inventaire M-1'!$A$2:$AG$9334,MATCH(R115,'Inventaire M-1'!$A:$A,0)-1,MATCH("poids",'Inventaire M-1'!#REF!,0)))</f>
        <v>#REF!</v>
      </c>
      <c r="AB115" s="155" t="e">
        <f>IF(R115="-","",IF(ISERROR(INDEX('Inventaire M'!$A$2:$AD$9319,MATCH(R115,'Inventaire M'!$A:$A,0)-1,MATCH("poids",'Inventaire M'!#REF!,0))),"Sell",INDEX('Inventaire M'!$A$2:$AD$9319,MATCH(R115,'Inventaire M'!$A:$A,0)-1,MATCH("poids",'Inventaire M'!#REF!,0))))</f>
        <v>#REF!</v>
      </c>
      <c r="AC115" s="175"/>
      <c r="AD115" s="157" t="str">
        <f t="shared" si="9"/>
        <v>0</v>
      </c>
      <c r="AE115" s="98" t="str">
        <f t="shared" si="10"/>
        <v/>
      </c>
      <c r="AF115" s="80" t="e">
        <f t="shared" si="11"/>
        <v>#REF!</v>
      </c>
    </row>
    <row r="116" spans="2:32" outlineLevel="1">
      <c r="B116" s="175" t="e">
        <f>IF(OR('Inventaire M'!#REF!="Dispo/Liquidité Investie",'Inventaire M'!#REF!="Option/Future",'Inventaire M'!#REF!="TCN",'Inventaire M'!#REF!=""),"-",'Inventaire M'!#REF!)</f>
        <v>#REF!</v>
      </c>
      <c r="C116" s="175" t="e">
        <f>IF(OR('Inventaire M'!#REF!="Dispo/Liquidité Investie",'Inventaire M'!#REF!="Option/Future",'Inventaire M'!#REF!="TCN",'Inventaire M'!#REF!=""),"-",'Inventaire M'!#REF!)</f>
        <v>#REF!</v>
      </c>
      <c r="D116" s="175"/>
      <c r="E116" s="175" t="e">
        <f>IF(B116="-","",INDEX('Inventaire M'!$A$2:$AW$9305,MATCH(B116,'Inventaire M'!$A:$A,0)-1,MATCH("Cours EUR",'Inventaire M'!#REF!,0)))</f>
        <v>#REF!</v>
      </c>
      <c r="F116" s="175" t="e">
        <f>IF(B116="-","",IF(ISERROR(INDEX('Inventaire M-1'!$A$2:$AZ$9320,MATCH(B116,'Inventaire M-1'!$A:$A,0)-1,MATCH("Cours EUR",'Inventaire M-1'!#REF!,0))),"Buy",INDEX('Inventaire M-1'!$A$2:$AZ$9320,MATCH(B116,'Inventaire M-1'!$A:$A,0)-1,MATCH("Cours EUR",'Inventaire M-1'!#REF!,0))))</f>
        <v>#REF!</v>
      </c>
      <c r="G116" s="175"/>
      <c r="H116" s="156" t="e">
        <f>IF(B116="-","",INDEX('Inventaire M'!$A$2:$AW$9305,MATCH(B116,'Inventaire M'!$A:$A,0)-1,MATCH("quantite",'Inventaire M'!#REF!,0)))</f>
        <v>#REF!</v>
      </c>
      <c r="I116" s="156" t="e">
        <f>IF(C116="-","",IF(ISERROR(INDEX('Inventaire M-1'!$A$2:$AZ$9320,MATCH(B116,'Inventaire M-1'!$A:$A,0)-1,MATCH("quantite",'Inventaire M-1'!#REF!,0))),"Buy",INDEX('Inventaire M-1'!$A$2:$AZ$9320,MATCH(B116,'Inventaire M-1'!$A:$A,0)-1,MATCH("quantite",'Inventaire M-1'!#REF!,0))))</f>
        <v>#REF!</v>
      </c>
      <c r="J116" s="175"/>
      <c r="K116" s="155" t="e">
        <f>IF(B116="-","",INDEX('Inventaire M'!$A$2:$AW$9305,MATCH(B116,'Inventaire M'!$A:$A,0)-1,MATCH("poids",'Inventaire M'!#REF!,0)))</f>
        <v>#REF!</v>
      </c>
      <c r="L116" s="155" t="e">
        <f>IF(B116="-","",IF(ISERROR(INDEX('Inventaire M-1'!$A$2:$AZ$9320,MATCH(B116,'Inventaire M-1'!$A:$A,0)-1,MATCH("poids",'Inventaire M-1'!#REF!,0))),"Buy",INDEX('Inventaire M-1'!$A$2:$AZ$9320,MATCH(B116,'Inventaire M-1'!$A:$A,0)-1,MATCH("poids",'Inventaire M-1'!#REF!,0))))</f>
        <v>#REF!</v>
      </c>
      <c r="M116" s="175"/>
      <c r="N116" s="157" t="str">
        <f t="shared" si="6"/>
        <v>0</v>
      </c>
      <c r="O116" s="98" t="str">
        <f t="shared" si="7"/>
        <v/>
      </c>
      <c r="P116" s="80" t="e">
        <f t="shared" si="8"/>
        <v>#REF!</v>
      </c>
      <c r="Q116" s="75">
        <v>9.1999999999999997E-9</v>
      </c>
      <c r="R116" s="175" t="e">
        <f>IF(OR('Inventaire M-1'!#REF!="Dispo/Liquidité Investie",'Inventaire M-1'!#REF!="Option/Future",'Inventaire M-1'!#REF!="TCN",'Inventaire M-1'!#REF!=""),"-",'Inventaire M-1'!#REF!)</f>
        <v>#REF!</v>
      </c>
      <c r="S116" s="175" t="e">
        <f>IF(OR('Inventaire M-1'!#REF!="Dispo/Liquidité Investie",'Inventaire M-1'!#REF!="Option/Future",'Inventaire M-1'!#REF!="TCN",'Inventaire M-1'!#REF!=""),"-",'Inventaire M-1'!#REF!)</f>
        <v>#REF!</v>
      </c>
      <c r="T116" s="175"/>
      <c r="U116" s="175" t="e">
        <f>IF(R116="-","",INDEX('Inventaire M-1'!$A$2:$AG$9334,MATCH(R116,'Inventaire M-1'!$A:$A,0)-1,MATCH("Cours EUR",'Inventaire M-1'!#REF!,0)))</f>
        <v>#REF!</v>
      </c>
      <c r="V116" s="175" t="e">
        <f>IF(R116="-","",IF(ISERROR(INDEX('Inventaire M'!$A$2:$AD$9319,MATCH(R116,'Inventaire M'!$A:$A,0)-1,MATCH("Cours EUR",'Inventaire M'!#REF!,0))),"Sell",INDEX('Inventaire M'!$A$2:$AD$9319,MATCH(R116,'Inventaire M'!$A:$A,0)-1,MATCH("Cours EUR",'Inventaire M'!#REF!,0))))</f>
        <v>#REF!</v>
      </c>
      <c r="W116" s="175"/>
      <c r="X116" s="156" t="e">
        <f>IF(R116="-","",INDEX('Inventaire M-1'!$A$2:$AG$9334,MATCH(R116,'Inventaire M-1'!$A:$A,0)-1,MATCH("quantite",'Inventaire M-1'!#REF!,0)))</f>
        <v>#REF!</v>
      </c>
      <c r="Y116" s="156" t="e">
        <f>IF(S116="-","",IF(ISERROR(INDEX('Inventaire M'!$A$2:$AD$9319,MATCH(R116,'Inventaire M'!$A:$A,0)-1,MATCH("quantite",'Inventaire M'!#REF!,0))),"Sell",INDEX('Inventaire M'!$A$2:$AD$9319,MATCH(R116,'Inventaire M'!$A:$A,0)-1,MATCH("quantite",'Inventaire M'!#REF!,0))))</f>
        <v>#REF!</v>
      </c>
      <c r="Z116" s="175"/>
      <c r="AA116" s="155" t="e">
        <f>IF(R116="-","",INDEX('Inventaire M-1'!$A$2:$AG$9334,MATCH(R116,'Inventaire M-1'!$A:$A,0)-1,MATCH("poids",'Inventaire M-1'!#REF!,0)))</f>
        <v>#REF!</v>
      </c>
      <c r="AB116" s="155" t="e">
        <f>IF(R116="-","",IF(ISERROR(INDEX('Inventaire M'!$A$2:$AD$9319,MATCH(R116,'Inventaire M'!$A:$A,0)-1,MATCH("poids",'Inventaire M'!#REF!,0))),"Sell",INDEX('Inventaire M'!$A$2:$AD$9319,MATCH(R116,'Inventaire M'!$A:$A,0)-1,MATCH("poids",'Inventaire M'!#REF!,0))))</f>
        <v>#REF!</v>
      </c>
      <c r="AC116" s="175"/>
      <c r="AD116" s="157" t="str">
        <f t="shared" si="9"/>
        <v>0</v>
      </c>
      <c r="AE116" s="98" t="str">
        <f t="shared" si="10"/>
        <v/>
      </c>
      <c r="AF116" s="80" t="e">
        <f t="shared" si="11"/>
        <v>#REF!</v>
      </c>
    </row>
    <row r="117" spans="2:32" outlineLevel="1">
      <c r="B117" s="175" t="e">
        <f>IF(OR('Inventaire M'!#REF!="Dispo/Liquidité Investie",'Inventaire M'!#REF!="Option/Future",'Inventaire M'!#REF!="TCN",'Inventaire M'!#REF!=""),"-",'Inventaire M'!#REF!)</f>
        <v>#REF!</v>
      </c>
      <c r="C117" s="175" t="e">
        <f>IF(OR('Inventaire M'!#REF!="Dispo/Liquidité Investie",'Inventaire M'!#REF!="Option/Future",'Inventaire M'!#REF!="TCN",'Inventaire M'!#REF!=""),"-",'Inventaire M'!#REF!)</f>
        <v>#REF!</v>
      </c>
      <c r="D117" s="175"/>
      <c r="E117" s="175" t="e">
        <f>IF(B117="-","",INDEX('Inventaire M'!$A$2:$AW$9305,MATCH(B117,'Inventaire M'!$A:$A,0)-1,MATCH("Cours EUR",'Inventaire M'!#REF!,0)))</f>
        <v>#REF!</v>
      </c>
      <c r="F117" s="175" t="e">
        <f>IF(B117="-","",IF(ISERROR(INDEX('Inventaire M-1'!$A$2:$AZ$9320,MATCH(B117,'Inventaire M-1'!$A:$A,0)-1,MATCH("Cours EUR",'Inventaire M-1'!#REF!,0))),"Buy",INDEX('Inventaire M-1'!$A$2:$AZ$9320,MATCH(B117,'Inventaire M-1'!$A:$A,0)-1,MATCH("Cours EUR",'Inventaire M-1'!#REF!,0))))</f>
        <v>#REF!</v>
      </c>
      <c r="G117" s="175"/>
      <c r="H117" s="156" t="e">
        <f>IF(B117="-","",INDEX('Inventaire M'!$A$2:$AW$9305,MATCH(B117,'Inventaire M'!$A:$A,0)-1,MATCH("quantite",'Inventaire M'!#REF!,0)))</f>
        <v>#REF!</v>
      </c>
      <c r="I117" s="156" t="e">
        <f>IF(C117="-","",IF(ISERROR(INDEX('Inventaire M-1'!$A$2:$AZ$9320,MATCH(B117,'Inventaire M-1'!$A:$A,0)-1,MATCH("quantite",'Inventaire M-1'!#REF!,0))),"Buy",INDEX('Inventaire M-1'!$A$2:$AZ$9320,MATCH(B117,'Inventaire M-1'!$A:$A,0)-1,MATCH("quantite",'Inventaire M-1'!#REF!,0))))</f>
        <v>#REF!</v>
      </c>
      <c r="J117" s="175"/>
      <c r="K117" s="155" t="e">
        <f>IF(B117="-","",INDEX('Inventaire M'!$A$2:$AW$9305,MATCH(B117,'Inventaire M'!$A:$A,0)-1,MATCH("poids",'Inventaire M'!#REF!,0)))</f>
        <v>#REF!</v>
      </c>
      <c r="L117" s="155" t="e">
        <f>IF(B117="-","",IF(ISERROR(INDEX('Inventaire M-1'!$A$2:$AZ$9320,MATCH(B117,'Inventaire M-1'!$A:$A,0)-1,MATCH("poids",'Inventaire M-1'!#REF!,0))),"Buy",INDEX('Inventaire M-1'!$A$2:$AZ$9320,MATCH(B117,'Inventaire M-1'!$A:$A,0)-1,MATCH("poids",'Inventaire M-1'!#REF!,0))))</f>
        <v>#REF!</v>
      </c>
      <c r="M117" s="175"/>
      <c r="N117" s="157" t="str">
        <f t="shared" si="6"/>
        <v>0</v>
      </c>
      <c r="O117" s="98" t="str">
        <f t="shared" si="7"/>
        <v/>
      </c>
      <c r="P117" s="80" t="e">
        <f t="shared" si="8"/>
        <v>#REF!</v>
      </c>
      <c r="Q117" s="75">
        <v>9.3000000000000006E-9</v>
      </c>
      <c r="R117" s="175" t="e">
        <f>IF(OR('Inventaire M-1'!#REF!="Dispo/Liquidité Investie",'Inventaire M-1'!#REF!="Option/Future",'Inventaire M-1'!#REF!="TCN",'Inventaire M-1'!#REF!=""),"-",'Inventaire M-1'!#REF!)</f>
        <v>#REF!</v>
      </c>
      <c r="S117" s="175" t="e">
        <f>IF(OR('Inventaire M-1'!#REF!="Dispo/Liquidité Investie",'Inventaire M-1'!#REF!="Option/Future",'Inventaire M-1'!#REF!="TCN",'Inventaire M-1'!#REF!=""),"-",'Inventaire M-1'!#REF!)</f>
        <v>#REF!</v>
      </c>
      <c r="T117" s="175"/>
      <c r="U117" s="175" t="e">
        <f>IF(R117="-","",INDEX('Inventaire M-1'!$A$2:$AG$9334,MATCH(R117,'Inventaire M-1'!$A:$A,0)-1,MATCH("Cours EUR",'Inventaire M-1'!#REF!,0)))</f>
        <v>#REF!</v>
      </c>
      <c r="V117" s="175" t="e">
        <f>IF(R117="-","",IF(ISERROR(INDEX('Inventaire M'!$A$2:$AD$9319,MATCH(R117,'Inventaire M'!$A:$A,0)-1,MATCH("Cours EUR",'Inventaire M'!#REF!,0))),"Sell",INDEX('Inventaire M'!$A$2:$AD$9319,MATCH(R117,'Inventaire M'!$A:$A,0)-1,MATCH("Cours EUR",'Inventaire M'!#REF!,0))))</f>
        <v>#REF!</v>
      </c>
      <c r="W117" s="175"/>
      <c r="X117" s="156" t="e">
        <f>IF(R117="-","",INDEX('Inventaire M-1'!$A$2:$AG$9334,MATCH(R117,'Inventaire M-1'!$A:$A,0)-1,MATCH("quantite",'Inventaire M-1'!#REF!,0)))</f>
        <v>#REF!</v>
      </c>
      <c r="Y117" s="156" t="e">
        <f>IF(S117="-","",IF(ISERROR(INDEX('Inventaire M'!$A$2:$AD$9319,MATCH(R117,'Inventaire M'!$A:$A,0)-1,MATCH("quantite",'Inventaire M'!#REF!,0))),"Sell",INDEX('Inventaire M'!$A$2:$AD$9319,MATCH(R117,'Inventaire M'!$A:$A,0)-1,MATCH("quantite",'Inventaire M'!#REF!,0))))</f>
        <v>#REF!</v>
      </c>
      <c r="Z117" s="175"/>
      <c r="AA117" s="155" t="e">
        <f>IF(R117="-","",INDEX('Inventaire M-1'!$A$2:$AG$9334,MATCH(R117,'Inventaire M-1'!$A:$A,0)-1,MATCH("poids",'Inventaire M-1'!#REF!,0)))</f>
        <v>#REF!</v>
      </c>
      <c r="AB117" s="155" t="e">
        <f>IF(R117="-","",IF(ISERROR(INDEX('Inventaire M'!$A$2:$AD$9319,MATCH(R117,'Inventaire M'!$A:$A,0)-1,MATCH("poids",'Inventaire M'!#REF!,0))),"Sell",INDEX('Inventaire M'!$A$2:$AD$9319,MATCH(R117,'Inventaire M'!$A:$A,0)-1,MATCH("poids",'Inventaire M'!#REF!,0))))</f>
        <v>#REF!</v>
      </c>
      <c r="AC117" s="175"/>
      <c r="AD117" s="157" t="str">
        <f t="shared" si="9"/>
        <v>0</v>
      </c>
      <c r="AE117" s="98" t="str">
        <f t="shared" si="10"/>
        <v/>
      </c>
      <c r="AF117" s="80" t="e">
        <f t="shared" si="11"/>
        <v>#REF!</v>
      </c>
    </row>
    <row r="118" spans="2:32" outlineLevel="1">
      <c r="B118" s="175" t="e">
        <f>IF(OR('Inventaire M'!#REF!="Dispo/Liquidité Investie",'Inventaire M'!#REF!="Option/Future",'Inventaire M'!#REF!="TCN",'Inventaire M'!#REF!=""),"-",'Inventaire M'!#REF!)</f>
        <v>#REF!</v>
      </c>
      <c r="C118" s="175" t="e">
        <f>IF(OR('Inventaire M'!#REF!="Dispo/Liquidité Investie",'Inventaire M'!#REF!="Option/Future",'Inventaire M'!#REF!="TCN",'Inventaire M'!#REF!=""),"-",'Inventaire M'!#REF!)</f>
        <v>#REF!</v>
      </c>
      <c r="D118" s="175"/>
      <c r="E118" s="175" t="e">
        <f>IF(B118="-","",INDEX('Inventaire M'!$A$2:$AW$9305,MATCH(B118,'Inventaire M'!$A:$A,0)-1,MATCH("Cours EUR",'Inventaire M'!#REF!,0)))</f>
        <v>#REF!</v>
      </c>
      <c r="F118" s="175" t="e">
        <f>IF(B118="-","",IF(ISERROR(INDEX('Inventaire M-1'!$A$2:$AZ$9320,MATCH(B118,'Inventaire M-1'!$A:$A,0)-1,MATCH("Cours EUR",'Inventaire M-1'!#REF!,0))),"Buy",INDEX('Inventaire M-1'!$A$2:$AZ$9320,MATCH(B118,'Inventaire M-1'!$A:$A,0)-1,MATCH("Cours EUR",'Inventaire M-1'!#REF!,0))))</f>
        <v>#REF!</v>
      </c>
      <c r="G118" s="175"/>
      <c r="H118" s="156" t="e">
        <f>IF(B118="-","",INDEX('Inventaire M'!$A$2:$AW$9305,MATCH(B118,'Inventaire M'!$A:$A,0)-1,MATCH("quantite",'Inventaire M'!#REF!,0)))</f>
        <v>#REF!</v>
      </c>
      <c r="I118" s="156" t="e">
        <f>IF(C118="-","",IF(ISERROR(INDEX('Inventaire M-1'!$A$2:$AZ$9320,MATCH(B118,'Inventaire M-1'!$A:$A,0)-1,MATCH("quantite",'Inventaire M-1'!#REF!,0))),"Buy",INDEX('Inventaire M-1'!$A$2:$AZ$9320,MATCH(B118,'Inventaire M-1'!$A:$A,0)-1,MATCH("quantite",'Inventaire M-1'!#REF!,0))))</f>
        <v>#REF!</v>
      </c>
      <c r="J118" s="175"/>
      <c r="K118" s="155" t="e">
        <f>IF(B118="-","",INDEX('Inventaire M'!$A$2:$AW$9305,MATCH(B118,'Inventaire M'!$A:$A,0)-1,MATCH("poids",'Inventaire M'!#REF!,0)))</f>
        <v>#REF!</v>
      </c>
      <c r="L118" s="155" t="e">
        <f>IF(B118="-","",IF(ISERROR(INDEX('Inventaire M-1'!$A$2:$AZ$9320,MATCH(B118,'Inventaire M-1'!$A:$A,0)-1,MATCH("poids",'Inventaire M-1'!#REF!,0))),"Buy",INDEX('Inventaire M-1'!$A$2:$AZ$9320,MATCH(B118,'Inventaire M-1'!$A:$A,0)-1,MATCH("poids",'Inventaire M-1'!#REF!,0))))</f>
        <v>#REF!</v>
      </c>
      <c r="M118" s="175"/>
      <c r="N118" s="157" t="str">
        <f t="shared" si="6"/>
        <v>0</v>
      </c>
      <c r="O118" s="98" t="str">
        <f t="shared" si="7"/>
        <v/>
      </c>
      <c r="P118" s="80" t="e">
        <f t="shared" si="8"/>
        <v>#REF!</v>
      </c>
      <c r="Q118" s="75">
        <v>9.3999999999999998E-9</v>
      </c>
      <c r="R118" s="175" t="e">
        <f>IF(OR('Inventaire M-1'!#REF!="Dispo/Liquidité Investie",'Inventaire M-1'!#REF!="Option/Future",'Inventaire M-1'!#REF!="TCN",'Inventaire M-1'!#REF!=""),"-",'Inventaire M-1'!#REF!)</f>
        <v>#REF!</v>
      </c>
      <c r="S118" s="175" t="e">
        <f>IF(OR('Inventaire M-1'!#REF!="Dispo/Liquidité Investie",'Inventaire M-1'!#REF!="Option/Future",'Inventaire M-1'!#REF!="TCN",'Inventaire M-1'!#REF!=""),"-",'Inventaire M-1'!#REF!)</f>
        <v>#REF!</v>
      </c>
      <c r="T118" s="175"/>
      <c r="U118" s="175" t="e">
        <f>IF(R118="-","",INDEX('Inventaire M-1'!$A$2:$AG$9334,MATCH(R118,'Inventaire M-1'!$A:$A,0)-1,MATCH("Cours EUR",'Inventaire M-1'!#REF!,0)))</f>
        <v>#REF!</v>
      </c>
      <c r="V118" s="175" t="e">
        <f>IF(R118="-","",IF(ISERROR(INDEX('Inventaire M'!$A$2:$AD$9319,MATCH(R118,'Inventaire M'!$A:$A,0)-1,MATCH("Cours EUR",'Inventaire M'!#REF!,0))),"Sell",INDEX('Inventaire M'!$A$2:$AD$9319,MATCH(R118,'Inventaire M'!$A:$A,0)-1,MATCH("Cours EUR",'Inventaire M'!#REF!,0))))</f>
        <v>#REF!</v>
      </c>
      <c r="W118" s="175"/>
      <c r="X118" s="156" t="e">
        <f>IF(R118="-","",INDEX('Inventaire M-1'!$A$2:$AG$9334,MATCH(R118,'Inventaire M-1'!$A:$A,0)-1,MATCH("quantite",'Inventaire M-1'!#REF!,0)))</f>
        <v>#REF!</v>
      </c>
      <c r="Y118" s="156" t="e">
        <f>IF(S118="-","",IF(ISERROR(INDEX('Inventaire M'!$A$2:$AD$9319,MATCH(R118,'Inventaire M'!$A:$A,0)-1,MATCH("quantite",'Inventaire M'!#REF!,0))),"Sell",INDEX('Inventaire M'!$A$2:$AD$9319,MATCH(R118,'Inventaire M'!$A:$A,0)-1,MATCH("quantite",'Inventaire M'!#REF!,0))))</f>
        <v>#REF!</v>
      </c>
      <c r="Z118" s="175"/>
      <c r="AA118" s="155" t="e">
        <f>IF(R118="-","",INDEX('Inventaire M-1'!$A$2:$AG$9334,MATCH(R118,'Inventaire M-1'!$A:$A,0)-1,MATCH("poids",'Inventaire M-1'!#REF!,0)))</f>
        <v>#REF!</v>
      </c>
      <c r="AB118" s="155" t="e">
        <f>IF(R118="-","",IF(ISERROR(INDEX('Inventaire M'!$A$2:$AD$9319,MATCH(R118,'Inventaire M'!$A:$A,0)-1,MATCH("poids",'Inventaire M'!#REF!,0))),"Sell",INDEX('Inventaire M'!$A$2:$AD$9319,MATCH(R118,'Inventaire M'!$A:$A,0)-1,MATCH("poids",'Inventaire M'!#REF!,0))))</f>
        <v>#REF!</v>
      </c>
      <c r="AC118" s="175"/>
      <c r="AD118" s="157" t="str">
        <f t="shared" si="9"/>
        <v>0</v>
      </c>
      <c r="AE118" s="98" t="str">
        <f t="shared" si="10"/>
        <v/>
      </c>
      <c r="AF118" s="80" t="e">
        <f t="shared" si="11"/>
        <v>#REF!</v>
      </c>
    </row>
    <row r="119" spans="2:32" outlineLevel="1">
      <c r="B119" s="175" t="e">
        <f>IF(OR('Inventaire M'!#REF!="Dispo/Liquidité Investie",'Inventaire M'!#REF!="Option/Future",'Inventaire M'!#REF!="TCN",'Inventaire M'!#REF!=""),"-",'Inventaire M'!#REF!)</f>
        <v>#REF!</v>
      </c>
      <c r="C119" s="175" t="e">
        <f>IF(OR('Inventaire M'!#REF!="Dispo/Liquidité Investie",'Inventaire M'!#REF!="Option/Future",'Inventaire M'!#REF!="TCN",'Inventaire M'!#REF!=""),"-",'Inventaire M'!#REF!)</f>
        <v>#REF!</v>
      </c>
      <c r="D119" s="175"/>
      <c r="E119" s="175" t="e">
        <f>IF(B119="-","",INDEX('Inventaire M'!$A$2:$AW$9305,MATCH(B119,'Inventaire M'!$A:$A,0)-1,MATCH("Cours EUR",'Inventaire M'!#REF!,0)))</f>
        <v>#REF!</v>
      </c>
      <c r="F119" s="175" t="e">
        <f>IF(B119="-","",IF(ISERROR(INDEX('Inventaire M-1'!$A$2:$AZ$9320,MATCH(B119,'Inventaire M-1'!$A:$A,0)-1,MATCH("Cours EUR",'Inventaire M-1'!#REF!,0))),"Buy",INDEX('Inventaire M-1'!$A$2:$AZ$9320,MATCH(B119,'Inventaire M-1'!$A:$A,0)-1,MATCH("Cours EUR",'Inventaire M-1'!#REF!,0))))</f>
        <v>#REF!</v>
      </c>
      <c r="G119" s="175"/>
      <c r="H119" s="156" t="e">
        <f>IF(B119="-","",INDEX('Inventaire M'!$A$2:$AW$9305,MATCH(B119,'Inventaire M'!$A:$A,0)-1,MATCH("quantite",'Inventaire M'!#REF!,0)))</f>
        <v>#REF!</v>
      </c>
      <c r="I119" s="156" t="e">
        <f>IF(C119="-","",IF(ISERROR(INDEX('Inventaire M-1'!$A$2:$AZ$9320,MATCH(B119,'Inventaire M-1'!$A:$A,0)-1,MATCH("quantite",'Inventaire M-1'!#REF!,0))),"Buy",INDEX('Inventaire M-1'!$A$2:$AZ$9320,MATCH(B119,'Inventaire M-1'!$A:$A,0)-1,MATCH("quantite",'Inventaire M-1'!#REF!,0))))</f>
        <v>#REF!</v>
      </c>
      <c r="J119" s="175"/>
      <c r="K119" s="155" t="e">
        <f>IF(B119="-","",INDEX('Inventaire M'!$A$2:$AW$9305,MATCH(B119,'Inventaire M'!$A:$A,0)-1,MATCH("poids",'Inventaire M'!#REF!,0)))</f>
        <v>#REF!</v>
      </c>
      <c r="L119" s="155" t="e">
        <f>IF(B119="-","",IF(ISERROR(INDEX('Inventaire M-1'!$A$2:$AZ$9320,MATCH(B119,'Inventaire M-1'!$A:$A,0)-1,MATCH("poids",'Inventaire M-1'!#REF!,0))),"Buy",INDEX('Inventaire M-1'!$A$2:$AZ$9320,MATCH(B119,'Inventaire M-1'!$A:$A,0)-1,MATCH("poids",'Inventaire M-1'!#REF!,0))))</f>
        <v>#REF!</v>
      </c>
      <c r="M119" s="175"/>
      <c r="N119" s="157" t="str">
        <f t="shared" si="6"/>
        <v>0</v>
      </c>
      <c r="O119" s="98" t="str">
        <f t="shared" si="7"/>
        <v/>
      </c>
      <c r="P119" s="80" t="e">
        <f t="shared" si="8"/>
        <v>#REF!</v>
      </c>
      <c r="Q119" s="75">
        <v>9.5000000000000007E-9</v>
      </c>
      <c r="R119" s="175" t="e">
        <f>IF(OR('Inventaire M-1'!#REF!="Dispo/Liquidité Investie",'Inventaire M-1'!#REF!="Option/Future",'Inventaire M-1'!#REF!="TCN",'Inventaire M-1'!#REF!=""),"-",'Inventaire M-1'!#REF!)</f>
        <v>#REF!</v>
      </c>
      <c r="S119" s="175" t="e">
        <f>IF(OR('Inventaire M-1'!#REF!="Dispo/Liquidité Investie",'Inventaire M-1'!#REF!="Option/Future",'Inventaire M-1'!#REF!="TCN",'Inventaire M-1'!#REF!=""),"-",'Inventaire M-1'!#REF!)</f>
        <v>#REF!</v>
      </c>
      <c r="T119" s="175"/>
      <c r="U119" s="175" t="e">
        <f>IF(R119="-","",INDEX('Inventaire M-1'!$A$2:$AG$9334,MATCH(R119,'Inventaire M-1'!$A:$A,0)-1,MATCH("Cours EUR",'Inventaire M-1'!#REF!,0)))</f>
        <v>#REF!</v>
      </c>
      <c r="V119" s="175" t="e">
        <f>IF(R119="-","",IF(ISERROR(INDEX('Inventaire M'!$A$2:$AD$9319,MATCH(R119,'Inventaire M'!$A:$A,0)-1,MATCH("Cours EUR",'Inventaire M'!#REF!,0))),"Sell",INDEX('Inventaire M'!$A$2:$AD$9319,MATCH(R119,'Inventaire M'!$A:$A,0)-1,MATCH("Cours EUR",'Inventaire M'!#REF!,0))))</f>
        <v>#REF!</v>
      </c>
      <c r="W119" s="175"/>
      <c r="X119" s="156" t="e">
        <f>IF(R119="-","",INDEX('Inventaire M-1'!$A$2:$AG$9334,MATCH(R119,'Inventaire M-1'!$A:$A,0)-1,MATCH("quantite",'Inventaire M-1'!#REF!,0)))</f>
        <v>#REF!</v>
      </c>
      <c r="Y119" s="156" t="e">
        <f>IF(S119="-","",IF(ISERROR(INDEX('Inventaire M'!$A$2:$AD$9319,MATCH(R119,'Inventaire M'!$A:$A,0)-1,MATCH("quantite",'Inventaire M'!#REF!,0))),"Sell",INDEX('Inventaire M'!$A$2:$AD$9319,MATCH(R119,'Inventaire M'!$A:$A,0)-1,MATCH("quantite",'Inventaire M'!#REF!,0))))</f>
        <v>#REF!</v>
      </c>
      <c r="Z119" s="175"/>
      <c r="AA119" s="155" t="e">
        <f>IF(R119="-","",INDEX('Inventaire M-1'!$A$2:$AG$9334,MATCH(R119,'Inventaire M-1'!$A:$A,0)-1,MATCH("poids",'Inventaire M-1'!#REF!,0)))</f>
        <v>#REF!</v>
      </c>
      <c r="AB119" s="155" t="e">
        <f>IF(R119="-","",IF(ISERROR(INDEX('Inventaire M'!$A$2:$AD$9319,MATCH(R119,'Inventaire M'!$A:$A,0)-1,MATCH("poids",'Inventaire M'!#REF!,0))),"Sell",INDEX('Inventaire M'!$A$2:$AD$9319,MATCH(R119,'Inventaire M'!$A:$A,0)-1,MATCH("poids",'Inventaire M'!#REF!,0))))</f>
        <v>#REF!</v>
      </c>
      <c r="AC119" s="175"/>
      <c r="AD119" s="157" t="str">
        <f t="shared" si="9"/>
        <v>0</v>
      </c>
      <c r="AE119" s="98" t="str">
        <f t="shared" si="10"/>
        <v/>
      </c>
      <c r="AF119" s="80" t="e">
        <f t="shared" si="11"/>
        <v>#REF!</v>
      </c>
    </row>
    <row r="120" spans="2:32" outlineLevel="1">
      <c r="B120" s="175" t="e">
        <f>IF(OR('Inventaire M'!#REF!="Dispo/Liquidité Investie",'Inventaire M'!#REF!="Option/Future",'Inventaire M'!#REF!="TCN",'Inventaire M'!#REF!=""),"-",'Inventaire M'!#REF!)</f>
        <v>#REF!</v>
      </c>
      <c r="C120" s="175" t="e">
        <f>IF(OR('Inventaire M'!#REF!="Dispo/Liquidité Investie",'Inventaire M'!#REF!="Option/Future",'Inventaire M'!#REF!="TCN",'Inventaire M'!#REF!=""),"-",'Inventaire M'!#REF!)</f>
        <v>#REF!</v>
      </c>
      <c r="D120" s="175"/>
      <c r="E120" s="175" t="e">
        <f>IF(B120="-","",INDEX('Inventaire M'!$A$2:$AW$9305,MATCH(B120,'Inventaire M'!$A:$A,0)-1,MATCH("Cours EUR",'Inventaire M'!#REF!,0)))</f>
        <v>#REF!</v>
      </c>
      <c r="F120" s="175" t="e">
        <f>IF(B120="-","",IF(ISERROR(INDEX('Inventaire M-1'!$A$2:$AZ$9320,MATCH(B120,'Inventaire M-1'!$A:$A,0)-1,MATCH("Cours EUR",'Inventaire M-1'!#REF!,0))),"Buy",INDEX('Inventaire M-1'!$A$2:$AZ$9320,MATCH(B120,'Inventaire M-1'!$A:$A,0)-1,MATCH("Cours EUR",'Inventaire M-1'!#REF!,0))))</f>
        <v>#REF!</v>
      </c>
      <c r="G120" s="175"/>
      <c r="H120" s="156" t="e">
        <f>IF(B120="-","",INDEX('Inventaire M'!$A$2:$AW$9305,MATCH(B120,'Inventaire M'!$A:$A,0)-1,MATCH("quantite",'Inventaire M'!#REF!,0)))</f>
        <v>#REF!</v>
      </c>
      <c r="I120" s="156" t="e">
        <f>IF(C120="-","",IF(ISERROR(INDEX('Inventaire M-1'!$A$2:$AZ$9320,MATCH(B120,'Inventaire M-1'!$A:$A,0)-1,MATCH("quantite",'Inventaire M-1'!#REF!,0))),"Buy",INDEX('Inventaire M-1'!$A$2:$AZ$9320,MATCH(B120,'Inventaire M-1'!$A:$A,0)-1,MATCH("quantite",'Inventaire M-1'!#REF!,0))))</f>
        <v>#REF!</v>
      </c>
      <c r="J120" s="175"/>
      <c r="K120" s="155" t="e">
        <f>IF(B120="-","",INDEX('Inventaire M'!$A$2:$AW$9305,MATCH(B120,'Inventaire M'!$A:$A,0)-1,MATCH("poids",'Inventaire M'!#REF!,0)))</f>
        <v>#REF!</v>
      </c>
      <c r="L120" s="155" t="e">
        <f>IF(B120="-","",IF(ISERROR(INDEX('Inventaire M-1'!$A$2:$AZ$9320,MATCH(B120,'Inventaire M-1'!$A:$A,0)-1,MATCH("poids",'Inventaire M-1'!#REF!,0))),"Buy",INDEX('Inventaire M-1'!$A$2:$AZ$9320,MATCH(B120,'Inventaire M-1'!$A:$A,0)-1,MATCH("poids",'Inventaire M-1'!#REF!,0))))</f>
        <v>#REF!</v>
      </c>
      <c r="M120" s="175"/>
      <c r="N120" s="157" t="str">
        <f t="shared" si="6"/>
        <v>0</v>
      </c>
      <c r="O120" s="98" t="str">
        <f t="shared" si="7"/>
        <v/>
      </c>
      <c r="P120" s="80" t="e">
        <f t="shared" si="8"/>
        <v>#REF!</v>
      </c>
      <c r="Q120" s="75">
        <v>9.5999999999999999E-9</v>
      </c>
      <c r="R120" s="175" t="e">
        <f>IF(OR('Inventaire M-1'!#REF!="Dispo/Liquidité Investie",'Inventaire M-1'!#REF!="Option/Future",'Inventaire M-1'!#REF!="TCN",'Inventaire M-1'!#REF!=""),"-",'Inventaire M-1'!#REF!)</f>
        <v>#REF!</v>
      </c>
      <c r="S120" s="175" t="e">
        <f>IF(OR('Inventaire M-1'!#REF!="Dispo/Liquidité Investie",'Inventaire M-1'!#REF!="Option/Future",'Inventaire M-1'!#REF!="TCN",'Inventaire M-1'!#REF!=""),"-",'Inventaire M-1'!#REF!)</f>
        <v>#REF!</v>
      </c>
      <c r="T120" s="175"/>
      <c r="U120" s="175" t="e">
        <f>IF(R120="-","",INDEX('Inventaire M-1'!$A$2:$AG$9334,MATCH(R120,'Inventaire M-1'!$A:$A,0)-1,MATCH("Cours EUR",'Inventaire M-1'!#REF!,0)))</f>
        <v>#REF!</v>
      </c>
      <c r="V120" s="175" t="e">
        <f>IF(R120="-","",IF(ISERROR(INDEX('Inventaire M'!$A$2:$AD$9319,MATCH(R120,'Inventaire M'!$A:$A,0)-1,MATCH("Cours EUR",'Inventaire M'!#REF!,0))),"Sell",INDEX('Inventaire M'!$A$2:$AD$9319,MATCH(R120,'Inventaire M'!$A:$A,0)-1,MATCH("Cours EUR",'Inventaire M'!#REF!,0))))</f>
        <v>#REF!</v>
      </c>
      <c r="W120" s="175"/>
      <c r="X120" s="156" t="e">
        <f>IF(R120="-","",INDEX('Inventaire M-1'!$A$2:$AG$9334,MATCH(R120,'Inventaire M-1'!$A:$A,0)-1,MATCH("quantite",'Inventaire M-1'!#REF!,0)))</f>
        <v>#REF!</v>
      </c>
      <c r="Y120" s="156" t="e">
        <f>IF(S120="-","",IF(ISERROR(INDEX('Inventaire M'!$A$2:$AD$9319,MATCH(R120,'Inventaire M'!$A:$A,0)-1,MATCH("quantite",'Inventaire M'!#REF!,0))),"Sell",INDEX('Inventaire M'!$A$2:$AD$9319,MATCH(R120,'Inventaire M'!$A:$A,0)-1,MATCH("quantite",'Inventaire M'!#REF!,0))))</f>
        <v>#REF!</v>
      </c>
      <c r="Z120" s="175"/>
      <c r="AA120" s="155" t="e">
        <f>IF(R120="-","",INDEX('Inventaire M-1'!$A$2:$AG$9334,MATCH(R120,'Inventaire M-1'!$A:$A,0)-1,MATCH("poids",'Inventaire M-1'!#REF!,0)))</f>
        <v>#REF!</v>
      </c>
      <c r="AB120" s="155" t="e">
        <f>IF(R120="-","",IF(ISERROR(INDEX('Inventaire M'!$A$2:$AD$9319,MATCH(R120,'Inventaire M'!$A:$A,0)-1,MATCH("poids",'Inventaire M'!#REF!,0))),"Sell",INDEX('Inventaire M'!$A$2:$AD$9319,MATCH(R120,'Inventaire M'!$A:$A,0)-1,MATCH("poids",'Inventaire M'!#REF!,0))))</f>
        <v>#REF!</v>
      </c>
      <c r="AC120" s="175"/>
      <c r="AD120" s="157" t="str">
        <f t="shared" si="9"/>
        <v>0</v>
      </c>
      <c r="AE120" s="98" t="str">
        <f t="shared" si="10"/>
        <v/>
      </c>
      <c r="AF120" s="80" t="e">
        <f t="shared" si="11"/>
        <v>#REF!</v>
      </c>
    </row>
    <row r="121" spans="2:32" outlineLevel="1">
      <c r="B121" s="175" t="e">
        <f>IF(OR('Inventaire M'!#REF!="Dispo/Liquidité Investie",'Inventaire M'!#REF!="Option/Future",'Inventaire M'!#REF!="TCN",'Inventaire M'!#REF!=""),"-",'Inventaire M'!#REF!)</f>
        <v>#REF!</v>
      </c>
      <c r="C121" s="175" t="e">
        <f>IF(OR('Inventaire M'!#REF!="Dispo/Liquidité Investie",'Inventaire M'!#REF!="Option/Future",'Inventaire M'!#REF!="TCN",'Inventaire M'!#REF!=""),"-",'Inventaire M'!#REF!)</f>
        <v>#REF!</v>
      </c>
      <c r="D121" s="175"/>
      <c r="E121" s="175" t="e">
        <f>IF(B121="-","",INDEX('Inventaire M'!$A$2:$AW$9305,MATCH(B121,'Inventaire M'!$A:$A,0)-1,MATCH("Cours EUR",'Inventaire M'!#REF!,0)))</f>
        <v>#REF!</v>
      </c>
      <c r="F121" s="175" t="e">
        <f>IF(B121="-","",IF(ISERROR(INDEX('Inventaire M-1'!$A$2:$AZ$9320,MATCH(B121,'Inventaire M-1'!$A:$A,0)-1,MATCH("Cours EUR",'Inventaire M-1'!#REF!,0))),"Buy",INDEX('Inventaire M-1'!$A$2:$AZ$9320,MATCH(B121,'Inventaire M-1'!$A:$A,0)-1,MATCH("Cours EUR",'Inventaire M-1'!#REF!,0))))</f>
        <v>#REF!</v>
      </c>
      <c r="G121" s="175"/>
      <c r="H121" s="156" t="e">
        <f>IF(B121="-","",INDEX('Inventaire M'!$A$2:$AW$9305,MATCH(B121,'Inventaire M'!$A:$A,0)-1,MATCH("quantite",'Inventaire M'!#REF!,0)))</f>
        <v>#REF!</v>
      </c>
      <c r="I121" s="156" t="e">
        <f>IF(C121="-","",IF(ISERROR(INDEX('Inventaire M-1'!$A$2:$AZ$9320,MATCH(B121,'Inventaire M-1'!$A:$A,0)-1,MATCH("quantite",'Inventaire M-1'!#REF!,0))),"Buy",INDEX('Inventaire M-1'!$A$2:$AZ$9320,MATCH(B121,'Inventaire M-1'!$A:$A,0)-1,MATCH("quantite",'Inventaire M-1'!#REF!,0))))</f>
        <v>#REF!</v>
      </c>
      <c r="J121" s="175"/>
      <c r="K121" s="155" t="e">
        <f>IF(B121="-","",INDEX('Inventaire M'!$A$2:$AW$9305,MATCH(B121,'Inventaire M'!$A:$A,0)-1,MATCH("poids",'Inventaire M'!#REF!,0)))</f>
        <v>#REF!</v>
      </c>
      <c r="L121" s="155" t="e">
        <f>IF(B121="-","",IF(ISERROR(INDEX('Inventaire M-1'!$A$2:$AZ$9320,MATCH(B121,'Inventaire M-1'!$A:$A,0)-1,MATCH("poids",'Inventaire M-1'!#REF!,0))),"Buy",INDEX('Inventaire M-1'!$A$2:$AZ$9320,MATCH(B121,'Inventaire M-1'!$A:$A,0)-1,MATCH("poids",'Inventaire M-1'!#REF!,0))))</f>
        <v>#REF!</v>
      </c>
      <c r="M121" s="175"/>
      <c r="N121" s="157" t="str">
        <f t="shared" si="6"/>
        <v>0</v>
      </c>
      <c r="O121" s="98" t="str">
        <f t="shared" si="7"/>
        <v/>
      </c>
      <c r="P121" s="80" t="e">
        <f t="shared" si="8"/>
        <v>#REF!</v>
      </c>
      <c r="Q121" s="75">
        <v>9.6999999999999992E-9</v>
      </c>
      <c r="R121" s="175" t="e">
        <f>IF(OR('Inventaire M-1'!#REF!="Dispo/Liquidité Investie",'Inventaire M-1'!#REF!="Option/Future",'Inventaire M-1'!#REF!="TCN",'Inventaire M-1'!#REF!=""),"-",'Inventaire M-1'!#REF!)</f>
        <v>#REF!</v>
      </c>
      <c r="S121" s="175" t="e">
        <f>IF(OR('Inventaire M-1'!#REF!="Dispo/Liquidité Investie",'Inventaire M-1'!#REF!="Option/Future",'Inventaire M-1'!#REF!="TCN",'Inventaire M-1'!#REF!=""),"-",'Inventaire M-1'!#REF!)</f>
        <v>#REF!</v>
      </c>
      <c r="T121" s="175"/>
      <c r="U121" s="175" t="e">
        <f>IF(R121="-","",INDEX('Inventaire M-1'!$A$2:$AG$9334,MATCH(R121,'Inventaire M-1'!$A:$A,0)-1,MATCH("Cours EUR",'Inventaire M-1'!#REF!,0)))</f>
        <v>#REF!</v>
      </c>
      <c r="V121" s="175" t="e">
        <f>IF(R121="-","",IF(ISERROR(INDEX('Inventaire M'!$A$2:$AD$9319,MATCH(R121,'Inventaire M'!$A:$A,0)-1,MATCH("Cours EUR",'Inventaire M'!#REF!,0))),"Sell",INDEX('Inventaire M'!$A$2:$AD$9319,MATCH(R121,'Inventaire M'!$A:$A,0)-1,MATCH("Cours EUR",'Inventaire M'!#REF!,0))))</f>
        <v>#REF!</v>
      </c>
      <c r="W121" s="175"/>
      <c r="X121" s="156" t="e">
        <f>IF(R121="-","",INDEX('Inventaire M-1'!$A$2:$AG$9334,MATCH(R121,'Inventaire M-1'!$A:$A,0)-1,MATCH("quantite",'Inventaire M-1'!#REF!,0)))</f>
        <v>#REF!</v>
      </c>
      <c r="Y121" s="156" t="e">
        <f>IF(S121="-","",IF(ISERROR(INDEX('Inventaire M'!$A$2:$AD$9319,MATCH(R121,'Inventaire M'!$A:$A,0)-1,MATCH("quantite",'Inventaire M'!#REF!,0))),"Sell",INDEX('Inventaire M'!$A$2:$AD$9319,MATCH(R121,'Inventaire M'!$A:$A,0)-1,MATCH("quantite",'Inventaire M'!#REF!,0))))</f>
        <v>#REF!</v>
      </c>
      <c r="Z121" s="175"/>
      <c r="AA121" s="155" t="e">
        <f>IF(R121="-","",INDEX('Inventaire M-1'!$A$2:$AG$9334,MATCH(R121,'Inventaire M-1'!$A:$A,0)-1,MATCH("poids",'Inventaire M-1'!#REF!,0)))</f>
        <v>#REF!</v>
      </c>
      <c r="AB121" s="155" t="e">
        <f>IF(R121="-","",IF(ISERROR(INDEX('Inventaire M'!$A$2:$AD$9319,MATCH(R121,'Inventaire M'!$A:$A,0)-1,MATCH("poids",'Inventaire M'!#REF!,0))),"Sell",INDEX('Inventaire M'!$A$2:$AD$9319,MATCH(R121,'Inventaire M'!$A:$A,0)-1,MATCH("poids",'Inventaire M'!#REF!,0))))</f>
        <v>#REF!</v>
      </c>
      <c r="AC121" s="175"/>
      <c r="AD121" s="157" t="str">
        <f t="shared" si="9"/>
        <v>0</v>
      </c>
      <c r="AE121" s="98" t="str">
        <f t="shared" si="10"/>
        <v/>
      </c>
      <c r="AF121" s="80" t="e">
        <f t="shared" si="11"/>
        <v>#REF!</v>
      </c>
    </row>
    <row r="122" spans="2:32" outlineLevel="1">
      <c r="B122" s="175" t="e">
        <f>IF(OR('Inventaire M'!#REF!="Dispo/Liquidité Investie",'Inventaire M'!#REF!="Option/Future",'Inventaire M'!#REF!="TCN",'Inventaire M'!#REF!=""),"-",'Inventaire M'!#REF!)</f>
        <v>#REF!</v>
      </c>
      <c r="C122" s="175" t="e">
        <f>IF(OR('Inventaire M'!#REF!="Dispo/Liquidité Investie",'Inventaire M'!#REF!="Option/Future",'Inventaire M'!#REF!="TCN",'Inventaire M'!#REF!=""),"-",'Inventaire M'!#REF!)</f>
        <v>#REF!</v>
      </c>
      <c r="D122" s="175"/>
      <c r="E122" s="175" t="e">
        <f>IF(B122="-","",INDEX('Inventaire M'!$A$2:$AW$9305,MATCH(B122,'Inventaire M'!$A:$A,0)-1,MATCH("Cours EUR",'Inventaire M'!#REF!,0)))</f>
        <v>#REF!</v>
      </c>
      <c r="F122" s="175" t="e">
        <f>IF(B122="-","",IF(ISERROR(INDEX('Inventaire M-1'!$A$2:$AZ$9320,MATCH(B122,'Inventaire M-1'!$A:$A,0)-1,MATCH("Cours EUR",'Inventaire M-1'!#REF!,0))),"Buy",INDEX('Inventaire M-1'!$A$2:$AZ$9320,MATCH(B122,'Inventaire M-1'!$A:$A,0)-1,MATCH("Cours EUR",'Inventaire M-1'!#REF!,0))))</f>
        <v>#REF!</v>
      </c>
      <c r="G122" s="175"/>
      <c r="H122" s="156" t="e">
        <f>IF(B122="-","",INDEX('Inventaire M'!$A$2:$AW$9305,MATCH(B122,'Inventaire M'!$A:$A,0)-1,MATCH("quantite",'Inventaire M'!#REF!,0)))</f>
        <v>#REF!</v>
      </c>
      <c r="I122" s="156" t="e">
        <f>IF(C122="-","",IF(ISERROR(INDEX('Inventaire M-1'!$A$2:$AZ$9320,MATCH(B122,'Inventaire M-1'!$A:$A,0)-1,MATCH("quantite",'Inventaire M-1'!#REF!,0))),"Buy",INDEX('Inventaire M-1'!$A$2:$AZ$9320,MATCH(B122,'Inventaire M-1'!$A:$A,0)-1,MATCH("quantite",'Inventaire M-1'!#REF!,0))))</f>
        <v>#REF!</v>
      </c>
      <c r="J122" s="175"/>
      <c r="K122" s="155" t="e">
        <f>IF(B122="-","",INDEX('Inventaire M'!$A$2:$AW$9305,MATCH(B122,'Inventaire M'!$A:$A,0)-1,MATCH("poids",'Inventaire M'!#REF!,0)))</f>
        <v>#REF!</v>
      </c>
      <c r="L122" s="155" t="e">
        <f>IF(B122="-","",IF(ISERROR(INDEX('Inventaire M-1'!$A$2:$AZ$9320,MATCH(B122,'Inventaire M-1'!$A:$A,0)-1,MATCH("poids",'Inventaire M-1'!#REF!,0))),"Buy",INDEX('Inventaire M-1'!$A$2:$AZ$9320,MATCH(B122,'Inventaire M-1'!$A:$A,0)-1,MATCH("poids",'Inventaire M-1'!#REF!,0))))</f>
        <v>#REF!</v>
      </c>
      <c r="M122" s="175"/>
      <c r="N122" s="157" t="str">
        <f t="shared" si="6"/>
        <v>0</v>
      </c>
      <c r="O122" s="98" t="str">
        <f t="shared" si="7"/>
        <v/>
      </c>
      <c r="P122" s="80" t="e">
        <f t="shared" si="8"/>
        <v>#REF!</v>
      </c>
      <c r="Q122" s="75">
        <v>9.8000000000000001E-9</v>
      </c>
      <c r="R122" s="175" t="e">
        <f>IF(OR('Inventaire M-1'!#REF!="Dispo/Liquidité Investie",'Inventaire M-1'!#REF!="Option/Future",'Inventaire M-1'!#REF!="TCN",'Inventaire M-1'!#REF!=""),"-",'Inventaire M-1'!#REF!)</f>
        <v>#REF!</v>
      </c>
      <c r="S122" s="175" t="e">
        <f>IF(OR('Inventaire M-1'!#REF!="Dispo/Liquidité Investie",'Inventaire M-1'!#REF!="Option/Future",'Inventaire M-1'!#REF!="TCN",'Inventaire M-1'!#REF!=""),"-",'Inventaire M-1'!#REF!)</f>
        <v>#REF!</v>
      </c>
      <c r="T122" s="175"/>
      <c r="U122" s="175" t="e">
        <f>IF(R122="-","",INDEX('Inventaire M-1'!$A$2:$AG$9334,MATCH(R122,'Inventaire M-1'!$A:$A,0)-1,MATCH("Cours EUR",'Inventaire M-1'!#REF!,0)))</f>
        <v>#REF!</v>
      </c>
      <c r="V122" s="175" t="e">
        <f>IF(R122="-","",IF(ISERROR(INDEX('Inventaire M'!$A$2:$AD$9319,MATCH(R122,'Inventaire M'!$A:$A,0)-1,MATCH("Cours EUR",'Inventaire M'!#REF!,0))),"Sell",INDEX('Inventaire M'!$A$2:$AD$9319,MATCH(R122,'Inventaire M'!$A:$A,0)-1,MATCH("Cours EUR",'Inventaire M'!#REF!,0))))</f>
        <v>#REF!</v>
      </c>
      <c r="W122" s="175"/>
      <c r="X122" s="156" t="e">
        <f>IF(R122="-","",INDEX('Inventaire M-1'!$A$2:$AG$9334,MATCH(R122,'Inventaire M-1'!$A:$A,0)-1,MATCH("quantite",'Inventaire M-1'!#REF!,0)))</f>
        <v>#REF!</v>
      </c>
      <c r="Y122" s="156" t="e">
        <f>IF(S122="-","",IF(ISERROR(INDEX('Inventaire M'!$A$2:$AD$9319,MATCH(R122,'Inventaire M'!$A:$A,0)-1,MATCH("quantite",'Inventaire M'!#REF!,0))),"Sell",INDEX('Inventaire M'!$A$2:$AD$9319,MATCH(R122,'Inventaire M'!$A:$A,0)-1,MATCH("quantite",'Inventaire M'!#REF!,0))))</f>
        <v>#REF!</v>
      </c>
      <c r="Z122" s="175"/>
      <c r="AA122" s="155" t="e">
        <f>IF(R122="-","",INDEX('Inventaire M-1'!$A$2:$AG$9334,MATCH(R122,'Inventaire M-1'!$A:$A,0)-1,MATCH("poids",'Inventaire M-1'!#REF!,0)))</f>
        <v>#REF!</v>
      </c>
      <c r="AB122" s="155" t="e">
        <f>IF(R122="-","",IF(ISERROR(INDEX('Inventaire M'!$A$2:$AD$9319,MATCH(R122,'Inventaire M'!$A:$A,0)-1,MATCH("poids",'Inventaire M'!#REF!,0))),"Sell",INDEX('Inventaire M'!$A$2:$AD$9319,MATCH(R122,'Inventaire M'!$A:$A,0)-1,MATCH("poids",'Inventaire M'!#REF!,0))))</f>
        <v>#REF!</v>
      </c>
      <c r="AC122" s="175"/>
      <c r="AD122" s="157" t="str">
        <f t="shared" si="9"/>
        <v>0</v>
      </c>
      <c r="AE122" s="98" t="str">
        <f t="shared" si="10"/>
        <v/>
      </c>
      <c r="AF122" s="80" t="e">
        <f t="shared" si="11"/>
        <v>#REF!</v>
      </c>
    </row>
    <row r="123" spans="2:32" outlineLevel="1">
      <c r="B123" s="175" t="e">
        <f>IF(OR('Inventaire M'!#REF!="Dispo/Liquidité Investie",'Inventaire M'!#REF!="Option/Future",'Inventaire M'!#REF!="TCN",'Inventaire M'!#REF!=""),"-",'Inventaire M'!#REF!)</f>
        <v>#REF!</v>
      </c>
      <c r="C123" s="175" t="e">
        <f>IF(OR('Inventaire M'!#REF!="Dispo/Liquidité Investie",'Inventaire M'!#REF!="Option/Future",'Inventaire M'!#REF!="TCN",'Inventaire M'!#REF!=""),"-",'Inventaire M'!#REF!)</f>
        <v>#REF!</v>
      </c>
      <c r="D123" s="175"/>
      <c r="E123" s="175" t="e">
        <f>IF(B123="-","",INDEX('Inventaire M'!$A$2:$AW$9305,MATCH(B123,'Inventaire M'!$A:$A,0)-1,MATCH("Cours EUR",'Inventaire M'!#REF!,0)))</f>
        <v>#REF!</v>
      </c>
      <c r="F123" s="175" t="e">
        <f>IF(B123="-","",IF(ISERROR(INDEX('Inventaire M-1'!$A$2:$AZ$9320,MATCH(B123,'Inventaire M-1'!$A:$A,0)-1,MATCH("Cours EUR",'Inventaire M-1'!#REF!,0))),"Buy",INDEX('Inventaire M-1'!$A$2:$AZ$9320,MATCH(B123,'Inventaire M-1'!$A:$A,0)-1,MATCH("Cours EUR",'Inventaire M-1'!#REF!,0))))</f>
        <v>#REF!</v>
      </c>
      <c r="G123" s="175"/>
      <c r="H123" s="156" t="e">
        <f>IF(B123="-","",INDEX('Inventaire M'!$A$2:$AW$9305,MATCH(B123,'Inventaire M'!$A:$A,0)-1,MATCH("quantite",'Inventaire M'!#REF!,0)))</f>
        <v>#REF!</v>
      </c>
      <c r="I123" s="156" t="e">
        <f>IF(C123="-","",IF(ISERROR(INDEX('Inventaire M-1'!$A$2:$AZ$9320,MATCH(B123,'Inventaire M-1'!$A:$A,0)-1,MATCH("quantite",'Inventaire M-1'!#REF!,0))),"Buy",INDEX('Inventaire M-1'!$A$2:$AZ$9320,MATCH(B123,'Inventaire M-1'!$A:$A,0)-1,MATCH("quantite",'Inventaire M-1'!#REF!,0))))</f>
        <v>#REF!</v>
      </c>
      <c r="J123" s="175"/>
      <c r="K123" s="155" t="e">
        <f>IF(B123="-","",INDEX('Inventaire M'!$A$2:$AW$9305,MATCH(B123,'Inventaire M'!$A:$A,0)-1,MATCH("poids",'Inventaire M'!#REF!,0)))</f>
        <v>#REF!</v>
      </c>
      <c r="L123" s="155" t="e">
        <f>IF(B123="-","",IF(ISERROR(INDEX('Inventaire M-1'!$A$2:$AZ$9320,MATCH(B123,'Inventaire M-1'!$A:$A,0)-1,MATCH("poids",'Inventaire M-1'!#REF!,0))),"Buy",INDEX('Inventaire M-1'!$A$2:$AZ$9320,MATCH(B123,'Inventaire M-1'!$A:$A,0)-1,MATCH("poids",'Inventaire M-1'!#REF!,0))))</f>
        <v>#REF!</v>
      </c>
      <c r="M123" s="175"/>
      <c r="N123" s="157" t="str">
        <f t="shared" si="6"/>
        <v>0</v>
      </c>
      <c r="O123" s="98" t="str">
        <f t="shared" si="7"/>
        <v/>
      </c>
      <c r="P123" s="80" t="e">
        <f t="shared" si="8"/>
        <v>#REF!</v>
      </c>
      <c r="Q123" s="75">
        <v>9.8999999999999993E-9</v>
      </c>
      <c r="R123" s="175" t="e">
        <f>IF(OR('Inventaire M-1'!#REF!="Dispo/Liquidité Investie",'Inventaire M-1'!#REF!="Option/Future",'Inventaire M-1'!#REF!="TCN",'Inventaire M-1'!#REF!=""),"-",'Inventaire M-1'!#REF!)</f>
        <v>#REF!</v>
      </c>
      <c r="S123" s="175" t="e">
        <f>IF(OR('Inventaire M-1'!#REF!="Dispo/Liquidité Investie",'Inventaire M-1'!#REF!="Option/Future",'Inventaire M-1'!#REF!="TCN",'Inventaire M-1'!#REF!=""),"-",'Inventaire M-1'!#REF!)</f>
        <v>#REF!</v>
      </c>
      <c r="T123" s="175"/>
      <c r="U123" s="175" t="e">
        <f>IF(R123="-","",INDEX('Inventaire M-1'!$A$2:$AG$9334,MATCH(R123,'Inventaire M-1'!$A:$A,0)-1,MATCH("Cours EUR",'Inventaire M-1'!#REF!,0)))</f>
        <v>#REF!</v>
      </c>
      <c r="V123" s="175" t="e">
        <f>IF(R123="-","",IF(ISERROR(INDEX('Inventaire M'!$A$2:$AD$9319,MATCH(R123,'Inventaire M'!$A:$A,0)-1,MATCH("Cours EUR",'Inventaire M'!#REF!,0))),"Sell",INDEX('Inventaire M'!$A$2:$AD$9319,MATCH(R123,'Inventaire M'!$A:$A,0)-1,MATCH("Cours EUR",'Inventaire M'!#REF!,0))))</f>
        <v>#REF!</v>
      </c>
      <c r="W123" s="175"/>
      <c r="X123" s="156" t="e">
        <f>IF(R123="-","",INDEX('Inventaire M-1'!$A$2:$AG$9334,MATCH(R123,'Inventaire M-1'!$A:$A,0)-1,MATCH("quantite",'Inventaire M-1'!#REF!,0)))</f>
        <v>#REF!</v>
      </c>
      <c r="Y123" s="156" t="e">
        <f>IF(S123="-","",IF(ISERROR(INDEX('Inventaire M'!$A$2:$AD$9319,MATCH(R123,'Inventaire M'!$A:$A,0)-1,MATCH("quantite",'Inventaire M'!#REF!,0))),"Sell",INDEX('Inventaire M'!$A$2:$AD$9319,MATCH(R123,'Inventaire M'!$A:$A,0)-1,MATCH("quantite",'Inventaire M'!#REF!,0))))</f>
        <v>#REF!</v>
      </c>
      <c r="Z123" s="175"/>
      <c r="AA123" s="155" t="e">
        <f>IF(R123="-","",INDEX('Inventaire M-1'!$A$2:$AG$9334,MATCH(R123,'Inventaire M-1'!$A:$A,0)-1,MATCH("poids",'Inventaire M-1'!#REF!,0)))</f>
        <v>#REF!</v>
      </c>
      <c r="AB123" s="155" t="e">
        <f>IF(R123="-","",IF(ISERROR(INDEX('Inventaire M'!$A$2:$AD$9319,MATCH(R123,'Inventaire M'!$A:$A,0)-1,MATCH("poids",'Inventaire M'!#REF!,0))),"Sell",INDEX('Inventaire M'!$A$2:$AD$9319,MATCH(R123,'Inventaire M'!$A:$A,0)-1,MATCH("poids",'Inventaire M'!#REF!,0))))</f>
        <v>#REF!</v>
      </c>
      <c r="AC123" s="175"/>
      <c r="AD123" s="157" t="str">
        <f t="shared" si="9"/>
        <v>0</v>
      </c>
      <c r="AE123" s="98" t="str">
        <f t="shared" si="10"/>
        <v/>
      </c>
      <c r="AF123" s="80" t="e">
        <f t="shared" si="11"/>
        <v>#REF!</v>
      </c>
    </row>
    <row r="124" spans="2:32" outlineLevel="1">
      <c r="B124" s="175" t="e">
        <f>IF(OR('Inventaire M'!#REF!="Dispo/Liquidité Investie",'Inventaire M'!#REF!="Option/Future",'Inventaire M'!#REF!="TCN",'Inventaire M'!#REF!=""),"-",'Inventaire M'!#REF!)</f>
        <v>#REF!</v>
      </c>
      <c r="C124" s="175" t="e">
        <f>IF(OR('Inventaire M'!#REF!="Dispo/Liquidité Investie",'Inventaire M'!#REF!="Option/Future",'Inventaire M'!#REF!="TCN",'Inventaire M'!#REF!=""),"-",'Inventaire M'!#REF!)</f>
        <v>#REF!</v>
      </c>
      <c r="D124" s="175"/>
      <c r="E124" s="175" t="e">
        <f>IF(B124="-","",INDEX('Inventaire M'!$A$2:$AW$9305,MATCH(B124,'Inventaire M'!$A:$A,0)-1,MATCH("Cours EUR",'Inventaire M'!#REF!,0)))</f>
        <v>#REF!</v>
      </c>
      <c r="F124" s="175" t="e">
        <f>IF(B124="-","",IF(ISERROR(INDEX('Inventaire M-1'!$A$2:$AZ$9320,MATCH(B124,'Inventaire M-1'!$A:$A,0)-1,MATCH("Cours EUR",'Inventaire M-1'!#REF!,0))),"Buy",INDEX('Inventaire M-1'!$A$2:$AZ$9320,MATCH(B124,'Inventaire M-1'!$A:$A,0)-1,MATCH("Cours EUR",'Inventaire M-1'!#REF!,0))))</f>
        <v>#REF!</v>
      </c>
      <c r="G124" s="175"/>
      <c r="H124" s="156" t="e">
        <f>IF(B124="-","",INDEX('Inventaire M'!$A$2:$AW$9305,MATCH(B124,'Inventaire M'!$A:$A,0)-1,MATCH("quantite",'Inventaire M'!#REF!,0)))</f>
        <v>#REF!</v>
      </c>
      <c r="I124" s="156" t="e">
        <f>IF(C124="-","",IF(ISERROR(INDEX('Inventaire M-1'!$A$2:$AZ$9320,MATCH(B124,'Inventaire M-1'!$A:$A,0)-1,MATCH("quantite",'Inventaire M-1'!#REF!,0))),"Buy",INDEX('Inventaire M-1'!$A$2:$AZ$9320,MATCH(B124,'Inventaire M-1'!$A:$A,0)-1,MATCH("quantite",'Inventaire M-1'!#REF!,0))))</f>
        <v>#REF!</v>
      </c>
      <c r="J124" s="175"/>
      <c r="K124" s="155" t="e">
        <f>IF(B124="-","",INDEX('Inventaire M'!$A$2:$AW$9305,MATCH(B124,'Inventaire M'!$A:$A,0)-1,MATCH("poids",'Inventaire M'!#REF!,0)))</f>
        <v>#REF!</v>
      </c>
      <c r="L124" s="155" t="e">
        <f>IF(B124="-","",IF(ISERROR(INDEX('Inventaire M-1'!$A$2:$AZ$9320,MATCH(B124,'Inventaire M-1'!$A:$A,0)-1,MATCH("poids",'Inventaire M-1'!#REF!,0))),"Buy",INDEX('Inventaire M-1'!$A$2:$AZ$9320,MATCH(B124,'Inventaire M-1'!$A:$A,0)-1,MATCH("poids",'Inventaire M-1'!#REF!,0))))</f>
        <v>#REF!</v>
      </c>
      <c r="M124" s="175"/>
      <c r="N124" s="157" t="str">
        <f t="shared" si="6"/>
        <v>0</v>
      </c>
      <c r="O124" s="98" t="str">
        <f t="shared" si="7"/>
        <v/>
      </c>
      <c r="P124" s="80" t="e">
        <f t="shared" si="8"/>
        <v>#REF!</v>
      </c>
      <c r="Q124" s="75">
        <v>1E-8</v>
      </c>
      <c r="R124" s="175" t="e">
        <f>IF(OR('Inventaire M-1'!#REF!="Dispo/Liquidité Investie",'Inventaire M-1'!#REF!="Option/Future",'Inventaire M-1'!#REF!="TCN",'Inventaire M-1'!#REF!=""),"-",'Inventaire M-1'!#REF!)</f>
        <v>#REF!</v>
      </c>
      <c r="S124" s="175" t="e">
        <f>IF(OR('Inventaire M-1'!#REF!="Dispo/Liquidité Investie",'Inventaire M-1'!#REF!="Option/Future",'Inventaire M-1'!#REF!="TCN",'Inventaire M-1'!#REF!=""),"-",'Inventaire M-1'!#REF!)</f>
        <v>#REF!</v>
      </c>
      <c r="T124" s="175"/>
      <c r="U124" s="175" t="e">
        <f>IF(R124="-","",INDEX('Inventaire M-1'!$A$2:$AG$9334,MATCH(R124,'Inventaire M-1'!$A:$A,0)-1,MATCH("Cours EUR",'Inventaire M-1'!#REF!,0)))</f>
        <v>#REF!</v>
      </c>
      <c r="V124" s="175" t="e">
        <f>IF(R124="-","",IF(ISERROR(INDEX('Inventaire M'!$A$2:$AD$9319,MATCH(R124,'Inventaire M'!$A:$A,0)-1,MATCH("Cours EUR",'Inventaire M'!#REF!,0))),"Sell",INDEX('Inventaire M'!$A$2:$AD$9319,MATCH(R124,'Inventaire M'!$A:$A,0)-1,MATCH("Cours EUR",'Inventaire M'!#REF!,0))))</f>
        <v>#REF!</v>
      </c>
      <c r="W124" s="175"/>
      <c r="X124" s="156" t="e">
        <f>IF(R124="-","",INDEX('Inventaire M-1'!$A$2:$AG$9334,MATCH(R124,'Inventaire M-1'!$A:$A,0)-1,MATCH("quantite",'Inventaire M-1'!#REF!,0)))</f>
        <v>#REF!</v>
      </c>
      <c r="Y124" s="156" t="e">
        <f>IF(S124="-","",IF(ISERROR(INDEX('Inventaire M'!$A$2:$AD$9319,MATCH(R124,'Inventaire M'!$A:$A,0)-1,MATCH("quantite",'Inventaire M'!#REF!,0))),"Sell",INDEX('Inventaire M'!$A$2:$AD$9319,MATCH(R124,'Inventaire M'!$A:$A,0)-1,MATCH("quantite",'Inventaire M'!#REF!,0))))</f>
        <v>#REF!</v>
      </c>
      <c r="Z124" s="175"/>
      <c r="AA124" s="155" t="e">
        <f>IF(R124="-","",INDEX('Inventaire M-1'!$A$2:$AG$9334,MATCH(R124,'Inventaire M-1'!$A:$A,0)-1,MATCH("poids",'Inventaire M-1'!#REF!,0)))</f>
        <v>#REF!</v>
      </c>
      <c r="AB124" s="155" t="e">
        <f>IF(R124="-","",IF(ISERROR(INDEX('Inventaire M'!$A$2:$AD$9319,MATCH(R124,'Inventaire M'!$A:$A,0)-1,MATCH("poids",'Inventaire M'!#REF!,0))),"Sell",INDEX('Inventaire M'!$A$2:$AD$9319,MATCH(R124,'Inventaire M'!$A:$A,0)-1,MATCH("poids",'Inventaire M'!#REF!,0))))</f>
        <v>#REF!</v>
      </c>
      <c r="AC124" s="175"/>
      <c r="AD124" s="157" t="str">
        <f t="shared" si="9"/>
        <v>0</v>
      </c>
      <c r="AE124" s="98" t="str">
        <f t="shared" si="10"/>
        <v/>
      </c>
      <c r="AF124" s="80" t="e">
        <f t="shared" si="11"/>
        <v>#REF!</v>
      </c>
    </row>
    <row r="125" spans="2:32" outlineLevel="1">
      <c r="B125" s="175" t="e">
        <f>IF(OR('Inventaire M'!#REF!="Dispo/Liquidité Investie",'Inventaire M'!#REF!="Option/Future",'Inventaire M'!#REF!="TCN",'Inventaire M'!#REF!=""),"-",'Inventaire M'!#REF!)</f>
        <v>#REF!</v>
      </c>
      <c r="C125" s="175" t="e">
        <f>IF(OR('Inventaire M'!#REF!="Dispo/Liquidité Investie",'Inventaire M'!#REF!="Option/Future",'Inventaire M'!#REF!="TCN",'Inventaire M'!#REF!=""),"-",'Inventaire M'!#REF!)</f>
        <v>#REF!</v>
      </c>
      <c r="D125" s="175"/>
      <c r="E125" s="175" t="e">
        <f>IF(B125="-","",INDEX('Inventaire M'!$A$2:$AW$9305,MATCH(B125,'Inventaire M'!$A:$A,0)-1,MATCH("Cours EUR",'Inventaire M'!#REF!,0)))</f>
        <v>#REF!</v>
      </c>
      <c r="F125" s="175" t="e">
        <f>IF(B125="-","",IF(ISERROR(INDEX('Inventaire M-1'!$A$2:$AZ$9320,MATCH(B125,'Inventaire M-1'!$A:$A,0)-1,MATCH("Cours EUR",'Inventaire M-1'!#REF!,0))),"Buy",INDEX('Inventaire M-1'!$A$2:$AZ$9320,MATCH(B125,'Inventaire M-1'!$A:$A,0)-1,MATCH("Cours EUR",'Inventaire M-1'!#REF!,0))))</f>
        <v>#REF!</v>
      </c>
      <c r="G125" s="175"/>
      <c r="H125" s="156" t="e">
        <f>IF(B125="-","",INDEX('Inventaire M'!$A$2:$AW$9305,MATCH(B125,'Inventaire M'!$A:$A,0)-1,MATCH("quantite",'Inventaire M'!#REF!,0)))</f>
        <v>#REF!</v>
      </c>
      <c r="I125" s="156" t="e">
        <f>IF(C125="-","",IF(ISERROR(INDEX('Inventaire M-1'!$A$2:$AZ$9320,MATCH(B125,'Inventaire M-1'!$A:$A,0)-1,MATCH("quantite",'Inventaire M-1'!#REF!,0))),"Buy",INDEX('Inventaire M-1'!$A$2:$AZ$9320,MATCH(B125,'Inventaire M-1'!$A:$A,0)-1,MATCH("quantite",'Inventaire M-1'!#REF!,0))))</f>
        <v>#REF!</v>
      </c>
      <c r="J125" s="175"/>
      <c r="K125" s="155" t="e">
        <f>IF(B125="-","",INDEX('Inventaire M'!$A$2:$AW$9305,MATCH(B125,'Inventaire M'!$A:$A,0)-1,MATCH("poids",'Inventaire M'!#REF!,0)))</f>
        <v>#REF!</v>
      </c>
      <c r="L125" s="155" t="e">
        <f>IF(B125="-","",IF(ISERROR(INDEX('Inventaire M-1'!$A$2:$AZ$9320,MATCH(B125,'Inventaire M-1'!$A:$A,0)-1,MATCH("poids",'Inventaire M-1'!#REF!,0))),"Buy",INDEX('Inventaire M-1'!$A$2:$AZ$9320,MATCH(B125,'Inventaire M-1'!$A:$A,0)-1,MATCH("poids",'Inventaire M-1'!#REF!,0))))</f>
        <v>#REF!</v>
      </c>
      <c r="M125" s="175"/>
      <c r="N125" s="157" t="str">
        <f t="shared" si="6"/>
        <v>0</v>
      </c>
      <c r="O125" s="98" t="str">
        <f t="shared" si="7"/>
        <v/>
      </c>
      <c r="P125" s="80" t="e">
        <f t="shared" si="8"/>
        <v>#REF!</v>
      </c>
      <c r="Q125" s="75">
        <v>1.0099999999999999E-8</v>
      </c>
      <c r="R125" s="175" t="e">
        <f>IF(OR('Inventaire M-1'!#REF!="Dispo/Liquidité Investie",'Inventaire M-1'!#REF!="Option/Future",'Inventaire M-1'!#REF!="TCN",'Inventaire M-1'!#REF!=""),"-",'Inventaire M-1'!#REF!)</f>
        <v>#REF!</v>
      </c>
      <c r="S125" s="175" t="e">
        <f>IF(OR('Inventaire M-1'!#REF!="Dispo/Liquidité Investie",'Inventaire M-1'!#REF!="Option/Future",'Inventaire M-1'!#REF!="TCN",'Inventaire M-1'!#REF!=""),"-",'Inventaire M-1'!#REF!)</f>
        <v>#REF!</v>
      </c>
      <c r="T125" s="175"/>
      <c r="U125" s="175" t="e">
        <f>IF(R125="-","",INDEX('Inventaire M-1'!$A$2:$AG$9334,MATCH(R125,'Inventaire M-1'!$A:$A,0)-1,MATCH("Cours EUR",'Inventaire M-1'!#REF!,0)))</f>
        <v>#REF!</v>
      </c>
      <c r="V125" s="175" t="e">
        <f>IF(R125="-","",IF(ISERROR(INDEX('Inventaire M'!$A$2:$AD$9319,MATCH(R125,'Inventaire M'!$A:$A,0)-1,MATCH("Cours EUR",'Inventaire M'!#REF!,0))),"Sell",INDEX('Inventaire M'!$A$2:$AD$9319,MATCH(R125,'Inventaire M'!$A:$A,0)-1,MATCH("Cours EUR",'Inventaire M'!#REF!,0))))</f>
        <v>#REF!</v>
      </c>
      <c r="W125" s="175"/>
      <c r="X125" s="156" t="e">
        <f>IF(R125="-","",INDEX('Inventaire M-1'!$A$2:$AG$9334,MATCH(R125,'Inventaire M-1'!$A:$A,0)-1,MATCH("quantite",'Inventaire M-1'!#REF!,0)))</f>
        <v>#REF!</v>
      </c>
      <c r="Y125" s="156" t="e">
        <f>IF(S125="-","",IF(ISERROR(INDEX('Inventaire M'!$A$2:$AD$9319,MATCH(R125,'Inventaire M'!$A:$A,0)-1,MATCH("quantite",'Inventaire M'!#REF!,0))),"Sell",INDEX('Inventaire M'!$A$2:$AD$9319,MATCH(R125,'Inventaire M'!$A:$A,0)-1,MATCH("quantite",'Inventaire M'!#REF!,0))))</f>
        <v>#REF!</v>
      </c>
      <c r="Z125" s="175"/>
      <c r="AA125" s="155" t="e">
        <f>IF(R125="-","",INDEX('Inventaire M-1'!$A$2:$AG$9334,MATCH(R125,'Inventaire M-1'!$A:$A,0)-1,MATCH("poids",'Inventaire M-1'!#REF!,0)))</f>
        <v>#REF!</v>
      </c>
      <c r="AB125" s="155" t="e">
        <f>IF(R125="-","",IF(ISERROR(INDEX('Inventaire M'!$A$2:$AD$9319,MATCH(R125,'Inventaire M'!$A:$A,0)-1,MATCH("poids",'Inventaire M'!#REF!,0))),"Sell",INDEX('Inventaire M'!$A$2:$AD$9319,MATCH(R125,'Inventaire M'!$A:$A,0)-1,MATCH("poids",'Inventaire M'!#REF!,0))))</f>
        <v>#REF!</v>
      </c>
      <c r="AC125" s="175"/>
      <c r="AD125" s="157" t="str">
        <f t="shared" si="9"/>
        <v>0</v>
      </c>
      <c r="AE125" s="98" t="str">
        <f t="shared" si="10"/>
        <v/>
      </c>
      <c r="AF125" s="80" t="e">
        <f t="shared" si="11"/>
        <v>#REF!</v>
      </c>
    </row>
    <row r="126" spans="2:32" outlineLevel="1">
      <c r="B126" s="175" t="e">
        <f>IF(OR('Inventaire M'!#REF!="Dispo/Liquidité Investie",'Inventaire M'!#REF!="Option/Future",'Inventaire M'!#REF!="TCN",'Inventaire M'!#REF!=""),"-",'Inventaire M'!#REF!)</f>
        <v>#REF!</v>
      </c>
      <c r="C126" s="175" t="e">
        <f>IF(OR('Inventaire M'!#REF!="Dispo/Liquidité Investie",'Inventaire M'!#REF!="Option/Future",'Inventaire M'!#REF!="TCN",'Inventaire M'!#REF!=""),"-",'Inventaire M'!#REF!)</f>
        <v>#REF!</v>
      </c>
      <c r="D126" s="175"/>
      <c r="E126" s="175" t="e">
        <f>IF(B126="-","",INDEX('Inventaire M'!$A$2:$AW$9305,MATCH(B126,'Inventaire M'!$A:$A,0)-1,MATCH("Cours EUR",'Inventaire M'!#REF!,0)))</f>
        <v>#REF!</v>
      </c>
      <c r="F126" s="175" t="e">
        <f>IF(B126="-","",IF(ISERROR(INDEX('Inventaire M-1'!$A$2:$AZ$9320,MATCH(B126,'Inventaire M-1'!$A:$A,0)-1,MATCH("Cours EUR",'Inventaire M-1'!#REF!,0))),"Buy",INDEX('Inventaire M-1'!$A$2:$AZ$9320,MATCH(B126,'Inventaire M-1'!$A:$A,0)-1,MATCH("Cours EUR",'Inventaire M-1'!#REF!,0))))</f>
        <v>#REF!</v>
      </c>
      <c r="G126" s="175"/>
      <c r="H126" s="156" t="e">
        <f>IF(B126="-","",INDEX('Inventaire M'!$A$2:$AW$9305,MATCH(B126,'Inventaire M'!$A:$A,0)-1,MATCH("quantite",'Inventaire M'!#REF!,0)))</f>
        <v>#REF!</v>
      </c>
      <c r="I126" s="156" t="e">
        <f>IF(C126="-","",IF(ISERROR(INDEX('Inventaire M-1'!$A$2:$AZ$9320,MATCH(B126,'Inventaire M-1'!$A:$A,0)-1,MATCH("quantite",'Inventaire M-1'!#REF!,0))),"Buy",INDEX('Inventaire M-1'!$A$2:$AZ$9320,MATCH(B126,'Inventaire M-1'!$A:$A,0)-1,MATCH("quantite",'Inventaire M-1'!#REF!,0))))</f>
        <v>#REF!</v>
      </c>
      <c r="J126" s="175"/>
      <c r="K126" s="155" t="e">
        <f>IF(B126="-","",INDEX('Inventaire M'!$A$2:$AW$9305,MATCH(B126,'Inventaire M'!$A:$A,0)-1,MATCH("poids",'Inventaire M'!#REF!,0)))</f>
        <v>#REF!</v>
      </c>
      <c r="L126" s="155" t="e">
        <f>IF(B126="-","",IF(ISERROR(INDEX('Inventaire M-1'!$A$2:$AZ$9320,MATCH(B126,'Inventaire M-1'!$A:$A,0)-1,MATCH("poids",'Inventaire M-1'!#REF!,0))),"Buy",INDEX('Inventaire M-1'!$A$2:$AZ$9320,MATCH(B126,'Inventaire M-1'!$A:$A,0)-1,MATCH("poids",'Inventaire M-1'!#REF!,0))))</f>
        <v>#REF!</v>
      </c>
      <c r="M126" s="175"/>
      <c r="N126" s="157" t="str">
        <f t="shared" si="6"/>
        <v>0</v>
      </c>
      <c r="O126" s="98" t="str">
        <f t="shared" si="7"/>
        <v/>
      </c>
      <c r="P126" s="80" t="e">
        <f t="shared" si="8"/>
        <v>#REF!</v>
      </c>
      <c r="Q126" s="75">
        <v>1.02E-8</v>
      </c>
      <c r="R126" s="175" t="e">
        <f>IF(OR('Inventaire M-1'!#REF!="Dispo/Liquidité Investie",'Inventaire M-1'!#REF!="Option/Future",'Inventaire M-1'!#REF!="TCN",'Inventaire M-1'!#REF!=""),"-",'Inventaire M-1'!#REF!)</f>
        <v>#REF!</v>
      </c>
      <c r="S126" s="175" t="e">
        <f>IF(OR('Inventaire M-1'!#REF!="Dispo/Liquidité Investie",'Inventaire M-1'!#REF!="Option/Future",'Inventaire M-1'!#REF!="TCN",'Inventaire M-1'!#REF!=""),"-",'Inventaire M-1'!#REF!)</f>
        <v>#REF!</v>
      </c>
      <c r="T126" s="175"/>
      <c r="U126" s="175" t="e">
        <f>IF(R126="-","",INDEX('Inventaire M-1'!$A$2:$AG$9334,MATCH(R126,'Inventaire M-1'!$A:$A,0)-1,MATCH("Cours EUR",'Inventaire M-1'!#REF!,0)))</f>
        <v>#REF!</v>
      </c>
      <c r="V126" s="175" t="e">
        <f>IF(R126="-","",IF(ISERROR(INDEX('Inventaire M'!$A$2:$AD$9319,MATCH(R126,'Inventaire M'!$A:$A,0)-1,MATCH("Cours EUR",'Inventaire M'!#REF!,0))),"Sell",INDEX('Inventaire M'!$A$2:$AD$9319,MATCH(R126,'Inventaire M'!$A:$A,0)-1,MATCH("Cours EUR",'Inventaire M'!#REF!,0))))</f>
        <v>#REF!</v>
      </c>
      <c r="W126" s="175"/>
      <c r="X126" s="156" t="e">
        <f>IF(R126="-","",INDEX('Inventaire M-1'!$A$2:$AG$9334,MATCH(R126,'Inventaire M-1'!$A:$A,0)-1,MATCH("quantite",'Inventaire M-1'!#REF!,0)))</f>
        <v>#REF!</v>
      </c>
      <c r="Y126" s="156" t="e">
        <f>IF(S126="-","",IF(ISERROR(INDEX('Inventaire M'!$A$2:$AD$9319,MATCH(R126,'Inventaire M'!$A:$A,0)-1,MATCH("quantite",'Inventaire M'!#REF!,0))),"Sell",INDEX('Inventaire M'!$A$2:$AD$9319,MATCH(R126,'Inventaire M'!$A:$A,0)-1,MATCH("quantite",'Inventaire M'!#REF!,0))))</f>
        <v>#REF!</v>
      </c>
      <c r="Z126" s="175"/>
      <c r="AA126" s="155" t="e">
        <f>IF(R126="-","",INDEX('Inventaire M-1'!$A$2:$AG$9334,MATCH(R126,'Inventaire M-1'!$A:$A,0)-1,MATCH("poids",'Inventaire M-1'!#REF!,0)))</f>
        <v>#REF!</v>
      </c>
      <c r="AB126" s="155" t="e">
        <f>IF(R126="-","",IF(ISERROR(INDEX('Inventaire M'!$A$2:$AD$9319,MATCH(R126,'Inventaire M'!$A:$A,0)-1,MATCH("poids",'Inventaire M'!#REF!,0))),"Sell",INDEX('Inventaire M'!$A$2:$AD$9319,MATCH(R126,'Inventaire M'!$A:$A,0)-1,MATCH("poids",'Inventaire M'!#REF!,0))))</f>
        <v>#REF!</v>
      </c>
      <c r="AC126" s="175"/>
      <c r="AD126" s="157" t="str">
        <f t="shared" si="9"/>
        <v>0</v>
      </c>
      <c r="AE126" s="98" t="str">
        <f t="shared" si="10"/>
        <v/>
      </c>
      <c r="AF126" s="80" t="e">
        <f t="shared" si="11"/>
        <v>#REF!</v>
      </c>
    </row>
    <row r="127" spans="2:32" outlineLevel="1">
      <c r="B127" s="175" t="e">
        <f>IF(OR('Inventaire M'!#REF!="Dispo/Liquidité Investie",'Inventaire M'!#REF!="Option/Future",'Inventaire M'!#REF!="TCN",'Inventaire M'!#REF!=""),"-",'Inventaire M'!#REF!)</f>
        <v>#REF!</v>
      </c>
      <c r="C127" s="175" t="e">
        <f>IF(OR('Inventaire M'!#REF!="Dispo/Liquidité Investie",'Inventaire M'!#REF!="Option/Future",'Inventaire M'!#REF!="TCN",'Inventaire M'!#REF!=""),"-",'Inventaire M'!#REF!)</f>
        <v>#REF!</v>
      </c>
      <c r="D127" s="175"/>
      <c r="E127" s="175" t="e">
        <f>IF(B127="-","",INDEX('Inventaire M'!$A$2:$AW$9305,MATCH(B127,'Inventaire M'!$A:$A,0)-1,MATCH("Cours EUR",'Inventaire M'!#REF!,0)))</f>
        <v>#REF!</v>
      </c>
      <c r="F127" s="175" t="e">
        <f>IF(B127="-","",IF(ISERROR(INDEX('Inventaire M-1'!$A$2:$AZ$9320,MATCH(B127,'Inventaire M-1'!$A:$A,0)-1,MATCH("Cours EUR",'Inventaire M-1'!#REF!,0))),"Buy",INDEX('Inventaire M-1'!$A$2:$AZ$9320,MATCH(B127,'Inventaire M-1'!$A:$A,0)-1,MATCH("Cours EUR",'Inventaire M-1'!#REF!,0))))</f>
        <v>#REF!</v>
      </c>
      <c r="G127" s="175"/>
      <c r="H127" s="156" t="e">
        <f>IF(B127="-","",INDEX('Inventaire M'!$A$2:$AW$9305,MATCH(B127,'Inventaire M'!$A:$A,0)-1,MATCH("quantite",'Inventaire M'!#REF!,0)))</f>
        <v>#REF!</v>
      </c>
      <c r="I127" s="156" t="e">
        <f>IF(C127="-","",IF(ISERROR(INDEX('Inventaire M-1'!$A$2:$AZ$9320,MATCH(B127,'Inventaire M-1'!$A:$A,0)-1,MATCH("quantite",'Inventaire M-1'!#REF!,0))),"Buy",INDEX('Inventaire M-1'!$A$2:$AZ$9320,MATCH(B127,'Inventaire M-1'!$A:$A,0)-1,MATCH("quantite",'Inventaire M-1'!#REF!,0))))</f>
        <v>#REF!</v>
      </c>
      <c r="J127" s="175"/>
      <c r="K127" s="155" t="e">
        <f>IF(B127="-","",INDEX('Inventaire M'!$A$2:$AW$9305,MATCH(B127,'Inventaire M'!$A:$A,0)-1,MATCH("poids",'Inventaire M'!#REF!,0)))</f>
        <v>#REF!</v>
      </c>
      <c r="L127" s="155" t="e">
        <f>IF(B127="-","",IF(ISERROR(INDEX('Inventaire M-1'!$A$2:$AZ$9320,MATCH(B127,'Inventaire M-1'!$A:$A,0)-1,MATCH("poids",'Inventaire M-1'!#REF!,0))),"Buy",INDEX('Inventaire M-1'!$A$2:$AZ$9320,MATCH(B127,'Inventaire M-1'!$A:$A,0)-1,MATCH("poids",'Inventaire M-1'!#REF!,0))))</f>
        <v>#REF!</v>
      </c>
      <c r="M127" s="175"/>
      <c r="N127" s="157" t="str">
        <f t="shared" si="6"/>
        <v>0</v>
      </c>
      <c r="O127" s="98" t="str">
        <f t="shared" si="7"/>
        <v/>
      </c>
      <c r="P127" s="80" t="e">
        <f t="shared" si="8"/>
        <v>#REF!</v>
      </c>
      <c r="Q127" s="75">
        <v>1.03E-8</v>
      </c>
      <c r="R127" s="175" t="e">
        <f>IF(OR('Inventaire M-1'!#REF!="Dispo/Liquidité Investie",'Inventaire M-1'!#REF!="Option/Future",'Inventaire M-1'!#REF!="TCN",'Inventaire M-1'!#REF!=""),"-",'Inventaire M-1'!#REF!)</f>
        <v>#REF!</v>
      </c>
      <c r="S127" s="175" t="e">
        <f>IF(OR('Inventaire M-1'!#REF!="Dispo/Liquidité Investie",'Inventaire M-1'!#REF!="Option/Future",'Inventaire M-1'!#REF!="TCN",'Inventaire M-1'!#REF!=""),"-",'Inventaire M-1'!#REF!)</f>
        <v>#REF!</v>
      </c>
      <c r="T127" s="175"/>
      <c r="U127" s="175" t="e">
        <f>IF(R127="-","",INDEX('Inventaire M-1'!$A$2:$AG$9334,MATCH(R127,'Inventaire M-1'!$A:$A,0)-1,MATCH("Cours EUR",'Inventaire M-1'!#REF!,0)))</f>
        <v>#REF!</v>
      </c>
      <c r="V127" s="175" t="e">
        <f>IF(R127="-","",IF(ISERROR(INDEX('Inventaire M'!$A$2:$AD$9319,MATCH(R127,'Inventaire M'!$A:$A,0)-1,MATCH("Cours EUR",'Inventaire M'!#REF!,0))),"Sell",INDEX('Inventaire M'!$A$2:$AD$9319,MATCH(R127,'Inventaire M'!$A:$A,0)-1,MATCH("Cours EUR",'Inventaire M'!#REF!,0))))</f>
        <v>#REF!</v>
      </c>
      <c r="W127" s="175"/>
      <c r="X127" s="156" t="e">
        <f>IF(R127="-","",INDEX('Inventaire M-1'!$A$2:$AG$9334,MATCH(R127,'Inventaire M-1'!$A:$A,0)-1,MATCH("quantite",'Inventaire M-1'!#REF!,0)))</f>
        <v>#REF!</v>
      </c>
      <c r="Y127" s="156" t="e">
        <f>IF(S127="-","",IF(ISERROR(INDEX('Inventaire M'!$A$2:$AD$9319,MATCH(R127,'Inventaire M'!$A:$A,0)-1,MATCH("quantite",'Inventaire M'!#REF!,0))),"Sell",INDEX('Inventaire M'!$A$2:$AD$9319,MATCH(R127,'Inventaire M'!$A:$A,0)-1,MATCH("quantite",'Inventaire M'!#REF!,0))))</f>
        <v>#REF!</v>
      </c>
      <c r="Z127" s="175"/>
      <c r="AA127" s="155" t="e">
        <f>IF(R127="-","",INDEX('Inventaire M-1'!$A$2:$AG$9334,MATCH(R127,'Inventaire M-1'!$A:$A,0)-1,MATCH("poids",'Inventaire M-1'!#REF!,0)))</f>
        <v>#REF!</v>
      </c>
      <c r="AB127" s="155" t="e">
        <f>IF(R127="-","",IF(ISERROR(INDEX('Inventaire M'!$A$2:$AD$9319,MATCH(R127,'Inventaire M'!$A:$A,0)-1,MATCH("poids",'Inventaire M'!#REF!,0))),"Sell",INDEX('Inventaire M'!$A$2:$AD$9319,MATCH(R127,'Inventaire M'!$A:$A,0)-1,MATCH("poids",'Inventaire M'!#REF!,0))))</f>
        <v>#REF!</v>
      </c>
      <c r="AC127" s="175"/>
      <c r="AD127" s="157" t="str">
        <f t="shared" si="9"/>
        <v>0</v>
      </c>
      <c r="AE127" s="98" t="str">
        <f t="shared" si="10"/>
        <v/>
      </c>
      <c r="AF127" s="80" t="e">
        <f t="shared" si="11"/>
        <v>#REF!</v>
      </c>
    </row>
    <row r="128" spans="2:32" outlineLevel="1">
      <c r="B128" s="175" t="e">
        <f>IF(OR('Inventaire M'!#REF!="Dispo/Liquidité Investie",'Inventaire M'!#REF!="Option/Future",'Inventaire M'!#REF!="TCN",'Inventaire M'!#REF!=""),"-",'Inventaire M'!#REF!)</f>
        <v>#REF!</v>
      </c>
      <c r="C128" s="175" t="e">
        <f>IF(OR('Inventaire M'!#REF!="Dispo/Liquidité Investie",'Inventaire M'!#REF!="Option/Future",'Inventaire M'!#REF!="TCN",'Inventaire M'!#REF!=""),"-",'Inventaire M'!#REF!)</f>
        <v>#REF!</v>
      </c>
      <c r="D128" s="175"/>
      <c r="E128" s="175" t="e">
        <f>IF(B128="-","",INDEX('Inventaire M'!$A$2:$AW$9305,MATCH(B128,'Inventaire M'!$A:$A,0)-1,MATCH("Cours EUR",'Inventaire M'!#REF!,0)))</f>
        <v>#REF!</v>
      </c>
      <c r="F128" s="175" t="e">
        <f>IF(B128="-","",IF(ISERROR(INDEX('Inventaire M-1'!$A$2:$AZ$9320,MATCH(B128,'Inventaire M-1'!$A:$A,0)-1,MATCH("Cours EUR",'Inventaire M-1'!#REF!,0))),"Buy",INDEX('Inventaire M-1'!$A$2:$AZ$9320,MATCH(B128,'Inventaire M-1'!$A:$A,0)-1,MATCH("Cours EUR",'Inventaire M-1'!#REF!,0))))</f>
        <v>#REF!</v>
      </c>
      <c r="G128" s="175"/>
      <c r="H128" s="156" t="e">
        <f>IF(B128="-","",INDEX('Inventaire M'!$A$2:$AW$9305,MATCH(B128,'Inventaire M'!$A:$A,0)-1,MATCH("quantite",'Inventaire M'!#REF!,0)))</f>
        <v>#REF!</v>
      </c>
      <c r="I128" s="156" t="e">
        <f>IF(C128="-","",IF(ISERROR(INDEX('Inventaire M-1'!$A$2:$AZ$9320,MATCH(B128,'Inventaire M-1'!$A:$A,0)-1,MATCH("quantite",'Inventaire M-1'!#REF!,0))),"Buy",INDEX('Inventaire M-1'!$A$2:$AZ$9320,MATCH(B128,'Inventaire M-1'!$A:$A,0)-1,MATCH("quantite",'Inventaire M-1'!#REF!,0))))</f>
        <v>#REF!</v>
      </c>
      <c r="J128" s="175"/>
      <c r="K128" s="155" t="e">
        <f>IF(B128="-","",INDEX('Inventaire M'!$A$2:$AW$9305,MATCH(B128,'Inventaire M'!$A:$A,0)-1,MATCH("poids",'Inventaire M'!#REF!,0)))</f>
        <v>#REF!</v>
      </c>
      <c r="L128" s="155" t="e">
        <f>IF(B128="-","",IF(ISERROR(INDEX('Inventaire M-1'!$A$2:$AZ$9320,MATCH(B128,'Inventaire M-1'!$A:$A,0)-1,MATCH("poids",'Inventaire M-1'!#REF!,0))),"Buy",INDEX('Inventaire M-1'!$A$2:$AZ$9320,MATCH(B128,'Inventaire M-1'!$A:$A,0)-1,MATCH("poids",'Inventaire M-1'!#REF!,0))))</f>
        <v>#REF!</v>
      </c>
      <c r="M128" s="175"/>
      <c r="N128" s="157" t="str">
        <f t="shared" si="6"/>
        <v>0</v>
      </c>
      <c r="O128" s="98" t="str">
        <f t="shared" si="7"/>
        <v/>
      </c>
      <c r="P128" s="80" t="e">
        <f t="shared" si="8"/>
        <v>#REF!</v>
      </c>
      <c r="Q128" s="75">
        <v>1.04E-8</v>
      </c>
      <c r="R128" s="175" t="e">
        <f>IF(OR('Inventaire M-1'!#REF!="Dispo/Liquidité Investie",'Inventaire M-1'!#REF!="Option/Future",'Inventaire M-1'!#REF!="TCN",'Inventaire M-1'!#REF!=""),"-",'Inventaire M-1'!#REF!)</f>
        <v>#REF!</v>
      </c>
      <c r="S128" s="175" t="e">
        <f>IF(OR('Inventaire M-1'!#REF!="Dispo/Liquidité Investie",'Inventaire M-1'!#REF!="Option/Future",'Inventaire M-1'!#REF!="TCN",'Inventaire M-1'!#REF!=""),"-",'Inventaire M-1'!#REF!)</f>
        <v>#REF!</v>
      </c>
      <c r="T128" s="175"/>
      <c r="U128" s="175" t="e">
        <f>IF(R128="-","",INDEX('Inventaire M-1'!$A$2:$AG$9334,MATCH(R128,'Inventaire M-1'!$A:$A,0)-1,MATCH("Cours EUR",'Inventaire M-1'!#REF!,0)))</f>
        <v>#REF!</v>
      </c>
      <c r="V128" s="175" t="e">
        <f>IF(R128="-","",IF(ISERROR(INDEX('Inventaire M'!$A$2:$AD$9319,MATCH(R128,'Inventaire M'!$A:$A,0)-1,MATCH("Cours EUR",'Inventaire M'!#REF!,0))),"Sell",INDEX('Inventaire M'!$A$2:$AD$9319,MATCH(R128,'Inventaire M'!$A:$A,0)-1,MATCH("Cours EUR",'Inventaire M'!#REF!,0))))</f>
        <v>#REF!</v>
      </c>
      <c r="W128" s="175"/>
      <c r="X128" s="156" t="e">
        <f>IF(R128="-","",INDEX('Inventaire M-1'!$A$2:$AG$9334,MATCH(R128,'Inventaire M-1'!$A:$A,0)-1,MATCH("quantite",'Inventaire M-1'!#REF!,0)))</f>
        <v>#REF!</v>
      </c>
      <c r="Y128" s="156" t="e">
        <f>IF(S128="-","",IF(ISERROR(INDEX('Inventaire M'!$A$2:$AD$9319,MATCH(R128,'Inventaire M'!$A:$A,0)-1,MATCH("quantite",'Inventaire M'!#REF!,0))),"Sell",INDEX('Inventaire M'!$A$2:$AD$9319,MATCH(R128,'Inventaire M'!$A:$A,0)-1,MATCH("quantite",'Inventaire M'!#REF!,0))))</f>
        <v>#REF!</v>
      </c>
      <c r="Z128" s="175"/>
      <c r="AA128" s="155" t="e">
        <f>IF(R128="-","",INDEX('Inventaire M-1'!$A$2:$AG$9334,MATCH(R128,'Inventaire M-1'!$A:$A,0)-1,MATCH("poids",'Inventaire M-1'!#REF!,0)))</f>
        <v>#REF!</v>
      </c>
      <c r="AB128" s="155" t="e">
        <f>IF(R128="-","",IF(ISERROR(INDEX('Inventaire M'!$A$2:$AD$9319,MATCH(R128,'Inventaire M'!$A:$A,0)-1,MATCH("poids",'Inventaire M'!#REF!,0))),"Sell",INDEX('Inventaire M'!$A$2:$AD$9319,MATCH(R128,'Inventaire M'!$A:$A,0)-1,MATCH("poids",'Inventaire M'!#REF!,0))))</f>
        <v>#REF!</v>
      </c>
      <c r="AC128" s="175"/>
      <c r="AD128" s="157" t="str">
        <f t="shared" si="9"/>
        <v>0</v>
      </c>
      <c r="AE128" s="98" t="str">
        <f t="shared" si="10"/>
        <v/>
      </c>
      <c r="AF128" s="80" t="e">
        <f t="shared" si="11"/>
        <v>#REF!</v>
      </c>
    </row>
    <row r="129" spans="2:32" outlineLevel="1">
      <c r="B129" s="175" t="e">
        <f>IF(OR('Inventaire M'!#REF!="Dispo/Liquidité Investie",'Inventaire M'!#REF!="Option/Future",'Inventaire M'!#REF!="TCN",'Inventaire M'!#REF!=""),"-",'Inventaire M'!#REF!)</f>
        <v>#REF!</v>
      </c>
      <c r="C129" s="175" t="e">
        <f>IF(OR('Inventaire M'!#REF!="Dispo/Liquidité Investie",'Inventaire M'!#REF!="Option/Future",'Inventaire M'!#REF!="TCN",'Inventaire M'!#REF!=""),"-",'Inventaire M'!#REF!)</f>
        <v>#REF!</v>
      </c>
      <c r="D129" s="175"/>
      <c r="E129" s="175" t="e">
        <f>IF(B129="-","",INDEX('Inventaire M'!$A$2:$AW$9305,MATCH(B129,'Inventaire M'!$A:$A,0)-1,MATCH("Cours EUR",'Inventaire M'!#REF!,0)))</f>
        <v>#REF!</v>
      </c>
      <c r="F129" s="175" t="e">
        <f>IF(B129="-","",IF(ISERROR(INDEX('Inventaire M-1'!$A$2:$AZ$9320,MATCH(B129,'Inventaire M-1'!$A:$A,0)-1,MATCH("Cours EUR",'Inventaire M-1'!#REF!,0))),"Buy",INDEX('Inventaire M-1'!$A$2:$AZ$9320,MATCH(B129,'Inventaire M-1'!$A:$A,0)-1,MATCH("Cours EUR",'Inventaire M-1'!#REF!,0))))</f>
        <v>#REF!</v>
      </c>
      <c r="G129" s="175"/>
      <c r="H129" s="156" t="e">
        <f>IF(B129="-","",INDEX('Inventaire M'!$A$2:$AW$9305,MATCH(B129,'Inventaire M'!$A:$A,0)-1,MATCH("quantite",'Inventaire M'!#REF!,0)))</f>
        <v>#REF!</v>
      </c>
      <c r="I129" s="156" t="e">
        <f>IF(C129="-","",IF(ISERROR(INDEX('Inventaire M-1'!$A$2:$AZ$9320,MATCH(B129,'Inventaire M-1'!$A:$A,0)-1,MATCH("quantite",'Inventaire M-1'!#REF!,0))),"Buy",INDEX('Inventaire M-1'!$A$2:$AZ$9320,MATCH(B129,'Inventaire M-1'!$A:$A,0)-1,MATCH("quantite",'Inventaire M-1'!#REF!,0))))</f>
        <v>#REF!</v>
      </c>
      <c r="J129" s="175"/>
      <c r="K129" s="155" t="e">
        <f>IF(B129="-","",INDEX('Inventaire M'!$A$2:$AW$9305,MATCH(B129,'Inventaire M'!$A:$A,0)-1,MATCH("poids",'Inventaire M'!#REF!,0)))</f>
        <v>#REF!</v>
      </c>
      <c r="L129" s="155" t="e">
        <f>IF(B129="-","",IF(ISERROR(INDEX('Inventaire M-1'!$A$2:$AZ$9320,MATCH(B129,'Inventaire M-1'!$A:$A,0)-1,MATCH("poids",'Inventaire M-1'!#REF!,0))),"Buy",INDEX('Inventaire M-1'!$A$2:$AZ$9320,MATCH(B129,'Inventaire M-1'!$A:$A,0)-1,MATCH("poids",'Inventaire M-1'!#REF!,0))))</f>
        <v>#REF!</v>
      </c>
      <c r="M129" s="175"/>
      <c r="N129" s="157" t="str">
        <f t="shared" si="6"/>
        <v>0</v>
      </c>
      <c r="O129" s="98" t="str">
        <f t="shared" si="7"/>
        <v/>
      </c>
      <c r="P129" s="80" t="e">
        <f t="shared" si="8"/>
        <v>#REF!</v>
      </c>
      <c r="Q129" s="75">
        <v>1.05E-8</v>
      </c>
      <c r="R129" s="175" t="e">
        <f>IF(OR('Inventaire M-1'!#REF!="Dispo/Liquidité Investie",'Inventaire M-1'!#REF!="Option/Future",'Inventaire M-1'!#REF!="TCN",'Inventaire M-1'!#REF!=""),"-",'Inventaire M-1'!#REF!)</f>
        <v>#REF!</v>
      </c>
      <c r="S129" s="175" t="e">
        <f>IF(OR('Inventaire M-1'!#REF!="Dispo/Liquidité Investie",'Inventaire M-1'!#REF!="Option/Future",'Inventaire M-1'!#REF!="TCN",'Inventaire M-1'!#REF!=""),"-",'Inventaire M-1'!#REF!)</f>
        <v>#REF!</v>
      </c>
      <c r="T129" s="175"/>
      <c r="U129" s="175" t="e">
        <f>IF(R129="-","",INDEX('Inventaire M-1'!$A$2:$AG$9334,MATCH(R129,'Inventaire M-1'!$A:$A,0)-1,MATCH("Cours EUR",'Inventaire M-1'!#REF!,0)))</f>
        <v>#REF!</v>
      </c>
      <c r="V129" s="175" t="e">
        <f>IF(R129="-","",IF(ISERROR(INDEX('Inventaire M'!$A$2:$AD$9319,MATCH(R129,'Inventaire M'!$A:$A,0)-1,MATCH("Cours EUR",'Inventaire M'!#REF!,0))),"Sell",INDEX('Inventaire M'!$A$2:$AD$9319,MATCH(R129,'Inventaire M'!$A:$A,0)-1,MATCH("Cours EUR",'Inventaire M'!#REF!,0))))</f>
        <v>#REF!</v>
      </c>
      <c r="W129" s="175"/>
      <c r="X129" s="156" t="e">
        <f>IF(R129="-","",INDEX('Inventaire M-1'!$A$2:$AG$9334,MATCH(R129,'Inventaire M-1'!$A:$A,0)-1,MATCH("quantite",'Inventaire M-1'!#REF!,0)))</f>
        <v>#REF!</v>
      </c>
      <c r="Y129" s="156" t="e">
        <f>IF(S129="-","",IF(ISERROR(INDEX('Inventaire M'!$A$2:$AD$9319,MATCH(R129,'Inventaire M'!$A:$A,0)-1,MATCH("quantite",'Inventaire M'!#REF!,0))),"Sell",INDEX('Inventaire M'!$A$2:$AD$9319,MATCH(R129,'Inventaire M'!$A:$A,0)-1,MATCH("quantite",'Inventaire M'!#REF!,0))))</f>
        <v>#REF!</v>
      </c>
      <c r="Z129" s="175"/>
      <c r="AA129" s="155" t="e">
        <f>IF(R129="-","",INDEX('Inventaire M-1'!$A$2:$AG$9334,MATCH(R129,'Inventaire M-1'!$A:$A,0)-1,MATCH("poids",'Inventaire M-1'!#REF!,0)))</f>
        <v>#REF!</v>
      </c>
      <c r="AB129" s="155" t="e">
        <f>IF(R129="-","",IF(ISERROR(INDEX('Inventaire M'!$A$2:$AD$9319,MATCH(R129,'Inventaire M'!$A:$A,0)-1,MATCH("poids",'Inventaire M'!#REF!,0))),"Sell",INDEX('Inventaire M'!$A$2:$AD$9319,MATCH(R129,'Inventaire M'!$A:$A,0)-1,MATCH("poids",'Inventaire M'!#REF!,0))))</f>
        <v>#REF!</v>
      </c>
      <c r="AC129" s="175"/>
      <c r="AD129" s="157" t="str">
        <f t="shared" si="9"/>
        <v>0</v>
      </c>
      <c r="AE129" s="98" t="str">
        <f t="shared" si="10"/>
        <v/>
      </c>
      <c r="AF129" s="80" t="e">
        <f t="shared" si="11"/>
        <v>#REF!</v>
      </c>
    </row>
    <row r="130" spans="2:32" outlineLevel="1">
      <c r="B130" s="175" t="e">
        <f>IF(OR('Inventaire M'!#REF!="Dispo/Liquidité Investie",'Inventaire M'!#REF!="Option/Future",'Inventaire M'!#REF!="TCN",'Inventaire M'!#REF!=""),"-",'Inventaire M'!#REF!)</f>
        <v>#REF!</v>
      </c>
      <c r="C130" s="175" t="e">
        <f>IF(OR('Inventaire M'!#REF!="Dispo/Liquidité Investie",'Inventaire M'!#REF!="Option/Future",'Inventaire M'!#REF!="TCN",'Inventaire M'!#REF!=""),"-",'Inventaire M'!#REF!)</f>
        <v>#REF!</v>
      </c>
      <c r="D130" s="175"/>
      <c r="E130" s="175" t="e">
        <f>IF(B130="-","",INDEX('Inventaire M'!$A$2:$AW$9305,MATCH(B130,'Inventaire M'!$A:$A,0)-1,MATCH("Cours EUR",'Inventaire M'!#REF!,0)))</f>
        <v>#REF!</v>
      </c>
      <c r="F130" s="175" t="e">
        <f>IF(B130="-","",IF(ISERROR(INDEX('Inventaire M-1'!$A$2:$AZ$9320,MATCH(B130,'Inventaire M-1'!$A:$A,0)-1,MATCH("Cours EUR",'Inventaire M-1'!#REF!,0))),"Buy",INDEX('Inventaire M-1'!$A$2:$AZ$9320,MATCH(B130,'Inventaire M-1'!$A:$A,0)-1,MATCH("Cours EUR",'Inventaire M-1'!#REF!,0))))</f>
        <v>#REF!</v>
      </c>
      <c r="G130" s="175"/>
      <c r="H130" s="156" t="e">
        <f>IF(B130="-","",INDEX('Inventaire M'!$A$2:$AW$9305,MATCH(B130,'Inventaire M'!$A:$A,0)-1,MATCH("quantite",'Inventaire M'!#REF!,0)))</f>
        <v>#REF!</v>
      </c>
      <c r="I130" s="156" t="e">
        <f>IF(C130="-","",IF(ISERROR(INDEX('Inventaire M-1'!$A$2:$AZ$9320,MATCH(B130,'Inventaire M-1'!$A:$A,0)-1,MATCH("quantite",'Inventaire M-1'!#REF!,0))),"Buy",INDEX('Inventaire M-1'!$A$2:$AZ$9320,MATCH(B130,'Inventaire M-1'!$A:$A,0)-1,MATCH("quantite",'Inventaire M-1'!#REF!,0))))</f>
        <v>#REF!</v>
      </c>
      <c r="J130" s="175"/>
      <c r="K130" s="155" t="e">
        <f>IF(B130="-","",INDEX('Inventaire M'!$A$2:$AW$9305,MATCH(B130,'Inventaire M'!$A:$A,0)-1,MATCH("poids",'Inventaire M'!#REF!,0)))</f>
        <v>#REF!</v>
      </c>
      <c r="L130" s="155" t="e">
        <f>IF(B130="-","",IF(ISERROR(INDEX('Inventaire M-1'!$A$2:$AZ$9320,MATCH(B130,'Inventaire M-1'!$A:$A,0)-1,MATCH("poids",'Inventaire M-1'!#REF!,0))),"Buy",INDEX('Inventaire M-1'!$A$2:$AZ$9320,MATCH(B130,'Inventaire M-1'!$A:$A,0)-1,MATCH("poids",'Inventaire M-1'!#REF!,0))))</f>
        <v>#REF!</v>
      </c>
      <c r="M130" s="175"/>
      <c r="N130" s="157" t="str">
        <f t="shared" si="6"/>
        <v>0</v>
      </c>
      <c r="O130" s="98" t="str">
        <f t="shared" si="7"/>
        <v/>
      </c>
      <c r="P130" s="80" t="e">
        <f t="shared" si="8"/>
        <v>#REF!</v>
      </c>
      <c r="Q130" s="75">
        <v>1.0600000000000001E-8</v>
      </c>
      <c r="R130" s="175" t="e">
        <f>IF(OR('Inventaire M-1'!#REF!="Dispo/Liquidité Investie",'Inventaire M-1'!#REF!="Option/Future",'Inventaire M-1'!#REF!="TCN",'Inventaire M-1'!#REF!=""),"-",'Inventaire M-1'!#REF!)</f>
        <v>#REF!</v>
      </c>
      <c r="S130" s="175" t="e">
        <f>IF(OR('Inventaire M-1'!#REF!="Dispo/Liquidité Investie",'Inventaire M-1'!#REF!="Option/Future",'Inventaire M-1'!#REF!="TCN",'Inventaire M-1'!#REF!=""),"-",'Inventaire M-1'!#REF!)</f>
        <v>#REF!</v>
      </c>
      <c r="T130" s="175"/>
      <c r="U130" s="175" t="e">
        <f>IF(R130="-","",INDEX('Inventaire M-1'!$A$2:$AG$9334,MATCH(R130,'Inventaire M-1'!$A:$A,0)-1,MATCH("Cours EUR",'Inventaire M-1'!#REF!,0)))</f>
        <v>#REF!</v>
      </c>
      <c r="V130" s="175" t="e">
        <f>IF(R130="-","",IF(ISERROR(INDEX('Inventaire M'!$A$2:$AD$9319,MATCH(R130,'Inventaire M'!$A:$A,0)-1,MATCH("Cours EUR",'Inventaire M'!#REF!,0))),"Sell",INDEX('Inventaire M'!$A$2:$AD$9319,MATCH(R130,'Inventaire M'!$A:$A,0)-1,MATCH("Cours EUR",'Inventaire M'!#REF!,0))))</f>
        <v>#REF!</v>
      </c>
      <c r="W130" s="175"/>
      <c r="X130" s="156" t="e">
        <f>IF(R130="-","",INDEX('Inventaire M-1'!$A$2:$AG$9334,MATCH(R130,'Inventaire M-1'!$A:$A,0)-1,MATCH("quantite",'Inventaire M-1'!#REF!,0)))</f>
        <v>#REF!</v>
      </c>
      <c r="Y130" s="156" t="e">
        <f>IF(S130="-","",IF(ISERROR(INDEX('Inventaire M'!$A$2:$AD$9319,MATCH(R130,'Inventaire M'!$A:$A,0)-1,MATCH("quantite",'Inventaire M'!#REF!,0))),"Sell",INDEX('Inventaire M'!$A$2:$AD$9319,MATCH(R130,'Inventaire M'!$A:$A,0)-1,MATCH("quantite",'Inventaire M'!#REF!,0))))</f>
        <v>#REF!</v>
      </c>
      <c r="Z130" s="175"/>
      <c r="AA130" s="155" t="e">
        <f>IF(R130="-","",INDEX('Inventaire M-1'!$A$2:$AG$9334,MATCH(R130,'Inventaire M-1'!$A:$A,0)-1,MATCH("poids",'Inventaire M-1'!#REF!,0)))</f>
        <v>#REF!</v>
      </c>
      <c r="AB130" s="155" t="e">
        <f>IF(R130="-","",IF(ISERROR(INDEX('Inventaire M'!$A$2:$AD$9319,MATCH(R130,'Inventaire M'!$A:$A,0)-1,MATCH("poids",'Inventaire M'!#REF!,0))),"Sell",INDEX('Inventaire M'!$A$2:$AD$9319,MATCH(R130,'Inventaire M'!$A:$A,0)-1,MATCH("poids",'Inventaire M'!#REF!,0))))</f>
        <v>#REF!</v>
      </c>
      <c r="AC130" s="175"/>
      <c r="AD130" s="157" t="str">
        <f t="shared" si="9"/>
        <v>0</v>
      </c>
      <c r="AE130" s="98" t="str">
        <f t="shared" si="10"/>
        <v/>
      </c>
      <c r="AF130" s="80" t="e">
        <f t="shared" si="11"/>
        <v>#REF!</v>
      </c>
    </row>
    <row r="131" spans="2:32" outlineLevel="1">
      <c r="B131" s="175" t="e">
        <f>IF(OR('Inventaire M'!#REF!="Dispo/Liquidité Investie",'Inventaire M'!#REF!="Option/Future",'Inventaire M'!#REF!="TCN",'Inventaire M'!#REF!=""),"-",'Inventaire M'!#REF!)</f>
        <v>#REF!</v>
      </c>
      <c r="C131" s="175" t="e">
        <f>IF(OR('Inventaire M'!#REF!="Dispo/Liquidité Investie",'Inventaire M'!#REF!="Option/Future",'Inventaire M'!#REF!="TCN",'Inventaire M'!#REF!=""),"-",'Inventaire M'!#REF!)</f>
        <v>#REF!</v>
      </c>
      <c r="D131" s="175"/>
      <c r="E131" s="175" t="e">
        <f>IF(B131="-","",INDEX('Inventaire M'!$A$2:$AW$9305,MATCH(B131,'Inventaire M'!$A:$A,0)-1,MATCH("Cours EUR",'Inventaire M'!#REF!,0)))</f>
        <v>#REF!</v>
      </c>
      <c r="F131" s="175" t="e">
        <f>IF(B131="-","",IF(ISERROR(INDEX('Inventaire M-1'!$A$2:$AZ$9320,MATCH(B131,'Inventaire M-1'!$A:$A,0)-1,MATCH("Cours EUR",'Inventaire M-1'!#REF!,0))),"Buy",INDEX('Inventaire M-1'!$A$2:$AZ$9320,MATCH(B131,'Inventaire M-1'!$A:$A,0)-1,MATCH("Cours EUR",'Inventaire M-1'!#REF!,0))))</f>
        <v>#REF!</v>
      </c>
      <c r="G131" s="175"/>
      <c r="H131" s="156" t="e">
        <f>IF(B131="-","",INDEX('Inventaire M'!$A$2:$AW$9305,MATCH(B131,'Inventaire M'!$A:$A,0)-1,MATCH("quantite",'Inventaire M'!#REF!,0)))</f>
        <v>#REF!</v>
      </c>
      <c r="I131" s="156" t="e">
        <f>IF(C131="-","",IF(ISERROR(INDEX('Inventaire M-1'!$A$2:$AZ$9320,MATCH(B131,'Inventaire M-1'!$A:$A,0)-1,MATCH("quantite",'Inventaire M-1'!#REF!,0))),"Buy",INDEX('Inventaire M-1'!$A$2:$AZ$9320,MATCH(B131,'Inventaire M-1'!$A:$A,0)-1,MATCH("quantite",'Inventaire M-1'!#REF!,0))))</f>
        <v>#REF!</v>
      </c>
      <c r="J131" s="175"/>
      <c r="K131" s="155" t="e">
        <f>IF(B131="-","",INDEX('Inventaire M'!$A$2:$AW$9305,MATCH(B131,'Inventaire M'!$A:$A,0)-1,MATCH("poids",'Inventaire M'!#REF!,0)))</f>
        <v>#REF!</v>
      </c>
      <c r="L131" s="155" t="e">
        <f>IF(B131="-","",IF(ISERROR(INDEX('Inventaire M-1'!$A$2:$AZ$9320,MATCH(B131,'Inventaire M-1'!$A:$A,0)-1,MATCH("poids",'Inventaire M-1'!#REF!,0))),"Buy",INDEX('Inventaire M-1'!$A$2:$AZ$9320,MATCH(B131,'Inventaire M-1'!$A:$A,0)-1,MATCH("poids",'Inventaire M-1'!#REF!,0))))</f>
        <v>#REF!</v>
      </c>
      <c r="M131" s="175"/>
      <c r="N131" s="157" t="str">
        <f t="shared" si="6"/>
        <v>0</v>
      </c>
      <c r="O131" s="98" t="str">
        <f t="shared" si="7"/>
        <v/>
      </c>
      <c r="P131" s="80" t="e">
        <f t="shared" si="8"/>
        <v>#REF!</v>
      </c>
      <c r="Q131" s="75">
        <v>1.07E-8</v>
      </c>
      <c r="R131" s="175" t="e">
        <f>IF(OR('Inventaire M-1'!#REF!="Dispo/Liquidité Investie",'Inventaire M-1'!#REF!="Option/Future",'Inventaire M-1'!#REF!="TCN",'Inventaire M-1'!#REF!=""),"-",'Inventaire M-1'!#REF!)</f>
        <v>#REF!</v>
      </c>
      <c r="S131" s="175" t="e">
        <f>IF(OR('Inventaire M-1'!#REF!="Dispo/Liquidité Investie",'Inventaire M-1'!#REF!="Option/Future",'Inventaire M-1'!#REF!="TCN",'Inventaire M-1'!#REF!=""),"-",'Inventaire M-1'!#REF!)</f>
        <v>#REF!</v>
      </c>
      <c r="T131" s="175"/>
      <c r="U131" s="175" t="e">
        <f>IF(R131="-","",INDEX('Inventaire M-1'!$A$2:$AG$9334,MATCH(R131,'Inventaire M-1'!$A:$A,0)-1,MATCH("Cours EUR",'Inventaire M-1'!#REF!,0)))</f>
        <v>#REF!</v>
      </c>
      <c r="V131" s="175" t="e">
        <f>IF(R131="-","",IF(ISERROR(INDEX('Inventaire M'!$A$2:$AD$9319,MATCH(R131,'Inventaire M'!$A:$A,0)-1,MATCH("Cours EUR",'Inventaire M'!#REF!,0))),"Sell",INDEX('Inventaire M'!$A$2:$AD$9319,MATCH(R131,'Inventaire M'!$A:$A,0)-1,MATCH("Cours EUR",'Inventaire M'!#REF!,0))))</f>
        <v>#REF!</v>
      </c>
      <c r="W131" s="175"/>
      <c r="X131" s="156" t="e">
        <f>IF(R131="-","",INDEX('Inventaire M-1'!$A$2:$AG$9334,MATCH(R131,'Inventaire M-1'!$A:$A,0)-1,MATCH("quantite",'Inventaire M-1'!#REF!,0)))</f>
        <v>#REF!</v>
      </c>
      <c r="Y131" s="156" t="e">
        <f>IF(S131="-","",IF(ISERROR(INDEX('Inventaire M'!$A$2:$AD$9319,MATCH(R131,'Inventaire M'!$A:$A,0)-1,MATCH("quantite",'Inventaire M'!#REF!,0))),"Sell",INDEX('Inventaire M'!$A$2:$AD$9319,MATCH(R131,'Inventaire M'!$A:$A,0)-1,MATCH("quantite",'Inventaire M'!#REF!,0))))</f>
        <v>#REF!</v>
      </c>
      <c r="Z131" s="175"/>
      <c r="AA131" s="155" t="e">
        <f>IF(R131="-","",INDEX('Inventaire M-1'!$A$2:$AG$9334,MATCH(R131,'Inventaire M-1'!$A:$A,0)-1,MATCH("poids",'Inventaire M-1'!#REF!,0)))</f>
        <v>#REF!</v>
      </c>
      <c r="AB131" s="155" t="e">
        <f>IF(R131="-","",IF(ISERROR(INDEX('Inventaire M'!$A$2:$AD$9319,MATCH(R131,'Inventaire M'!$A:$A,0)-1,MATCH("poids",'Inventaire M'!#REF!,0))),"Sell",INDEX('Inventaire M'!$A$2:$AD$9319,MATCH(R131,'Inventaire M'!$A:$A,0)-1,MATCH("poids",'Inventaire M'!#REF!,0))))</f>
        <v>#REF!</v>
      </c>
      <c r="AC131" s="175"/>
      <c r="AD131" s="157" t="str">
        <f t="shared" si="9"/>
        <v>0</v>
      </c>
      <c r="AE131" s="98" t="str">
        <f t="shared" si="10"/>
        <v/>
      </c>
      <c r="AF131" s="80" t="e">
        <f t="shared" si="11"/>
        <v>#REF!</v>
      </c>
    </row>
    <row r="132" spans="2:32" outlineLevel="1">
      <c r="B132" s="175" t="e">
        <f>IF(OR('Inventaire M'!#REF!="Dispo/Liquidité Investie",'Inventaire M'!#REF!="Option/Future",'Inventaire M'!#REF!="TCN",'Inventaire M'!#REF!=""),"-",'Inventaire M'!#REF!)</f>
        <v>#REF!</v>
      </c>
      <c r="C132" s="175" t="e">
        <f>IF(OR('Inventaire M'!#REF!="Dispo/Liquidité Investie",'Inventaire M'!#REF!="Option/Future",'Inventaire M'!#REF!="TCN",'Inventaire M'!#REF!=""),"-",'Inventaire M'!#REF!)</f>
        <v>#REF!</v>
      </c>
      <c r="D132" s="175"/>
      <c r="E132" s="175" t="e">
        <f>IF(B132="-","",INDEX('Inventaire M'!$A$2:$AW$9305,MATCH(B132,'Inventaire M'!$A:$A,0)-1,MATCH("Cours EUR",'Inventaire M'!#REF!,0)))</f>
        <v>#REF!</v>
      </c>
      <c r="F132" s="175" t="e">
        <f>IF(B132="-","",IF(ISERROR(INDEX('Inventaire M-1'!$A$2:$AZ$9320,MATCH(B132,'Inventaire M-1'!$A:$A,0)-1,MATCH("Cours EUR",'Inventaire M-1'!#REF!,0))),"Buy",INDEX('Inventaire M-1'!$A$2:$AZ$9320,MATCH(B132,'Inventaire M-1'!$A:$A,0)-1,MATCH("Cours EUR",'Inventaire M-1'!#REF!,0))))</f>
        <v>#REF!</v>
      </c>
      <c r="G132" s="175"/>
      <c r="H132" s="156" t="e">
        <f>IF(B132="-","",INDEX('Inventaire M'!$A$2:$AW$9305,MATCH(B132,'Inventaire M'!$A:$A,0)-1,MATCH("quantite",'Inventaire M'!#REF!,0)))</f>
        <v>#REF!</v>
      </c>
      <c r="I132" s="156" t="e">
        <f>IF(C132="-","",IF(ISERROR(INDEX('Inventaire M-1'!$A$2:$AZ$9320,MATCH(B132,'Inventaire M-1'!$A:$A,0)-1,MATCH("quantite",'Inventaire M-1'!#REF!,0))),"Buy",INDEX('Inventaire M-1'!$A$2:$AZ$9320,MATCH(B132,'Inventaire M-1'!$A:$A,0)-1,MATCH("quantite",'Inventaire M-1'!#REF!,0))))</f>
        <v>#REF!</v>
      </c>
      <c r="J132" s="175"/>
      <c r="K132" s="155" t="e">
        <f>IF(B132="-","",INDEX('Inventaire M'!$A$2:$AW$9305,MATCH(B132,'Inventaire M'!$A:$A,0)-1,MATCH("poids",'Inventaire M'!#REF!,0)))</f>
        <v>#REF!</v>
      </c>
      <c r="L132" s="155" t="e">
        <f>IF(B132="-","",IF(ISERROR(INDEX('Inventaire M-1'!$A$2:$AZ$9320,MATCH(B132,'Inventaire M-1'!$A:$A,0)-1,MATCH("poids",'Inventaire M-1'!#REF!,0))),"Buy",INDEX('Inventaire M-1'!$A$2:$AZ$9320,MATCH(B132,'Inventaire M-1'!$A:$A,0)-1,MATCH("poids",'Inventaire M-1'!#REF!,0))))</f>
        <v>#REF!</v>
      </c>
      <c r="M132" s="175"/>
      <c r="N132" s="157" t="str">
        <f t="shared" si="6"/>
        <v>0</v>
      </c>
      <c r="O132" s="98" t="str">
        <f t="shared" si="7"/>
        <v/>
      </c>
      <c r="P132" s="80" t="e">
        <f t="shared" si="8"/>
        <v>#REF!</v>
      </c>
      <c r="Q132" s="75">
        <v>1.0800000000000001E-8</v>
      </c>
      <c r="R132" s="175" t="e">
        <f>IF(OR('Inventaire M-1'!#REF!="Dispo/Liquidité Investie",'Inventaire M-1'!#REF!="Option/Future",'Inventaire M-1'!#REF!="TCN",'Inventaire M-1'!#REF!=""),"-",'Inventaire M-1'!#REF!)</f>
        <v>#REF!</v>
      </c>
      <c r="S132" s="175" t="e">
        <f>IF(OR('Inventaire M-1'!#REF!="Dispo/Liquidité Investie",'Inventaire M-1'!#REF!="Option/Future",'Inventaire M-1'!#REF!="TCN",'Inventaire M-1'!#REF!=""),"-",'Inventaire M-1'!#REF!)</f>
        <v>#REF!</v>
      </c>
      <c r="T132" s="175"/>
      <c r="U132" s="175" t="e">
        <f>IF(R132="-","",INDEX('Inventaire M-1'!$A$2:$AG$9334,MATCH(R132,'Inventaire M-1'!$A:$A,0)-1,MATCH("Cours EUR",'Inventaire M-1'!#REF!,0)))</f>
        <v>#REF!</v>
      </c>
      <c r="V132" s="175" t="e">
        <f>IF(R132="-","",IF(ISERROR(INDEX('Inventaire M'!$A$2:$AD$9319,MATCH(R132,'Inventaire M'!$A:$A,0)-1,MATCH("Cours EUR",'Inventaire M'!#REF!,0))),"Sell",INDEX('Inventaire M'!$A$2:$AD$9319,MATCH(R132,'Inventaire M'!$A:$A,0)-1,MATCH("Cours EUR",'Inventaire M'!#REF!,0))))</f>
        <v>#REF!</v>
      </c>
      <c r="W132" s="175"/>
      <c r="X132" s="156" t="e">
        <f>IF(R132="-","",INDEX('Inventaire M-1'!$A$2:$AG$9334,MATCH(R132,'Inventaire M-1'!$A:$A,0)-1,MATCH("quantite",'Inventaire M-1'!#REF!,0)))</f>
        <v>#REF!</v>
      </c>
      <c r="Y132" s="156" t="e">
        <f>IF(S132="-","",IF(ISERROR(INDEX('Inventaire M'!$A$2:$AD$9319,MATCH(R132,'Inventaire M'!$A:$A,0)-1,MATCH("quantite",'Inventaire M'!#REF!,0))),"Sell",INDEX('Inventaire M'!$A$2:$AD$9319,MATCH(R132,'Inventaire M'!$A:$A,0)-1,MATCH("quantite",'Inventaire M'!#REF!,0))))</f>
        <v>#REF!</v>
      </c>
      <c r="Z132" s="175"/>
      <c r="AA132" s="155" t="e">
        <f>IF(R132="-","",INDEX('Inventaire M-1'!$A$2:$AG$9334,MATCH(R132,'Inventaire M-1'!$A:$A,0)-1,MATCH("poids",'Inventaire M-1'!#REF!,0)))</f>
        <v>#REF!</v>
      </c>
      <c r="AB132" s="155" t="e">
        <f>IF(R132="-","",IF(ISERROR(INDEX('Inventaire M'!$A$2:$AD$9319,MATCH(R132,'Inventaire M'!$A:$A,0)-1,MATCH("poids",'Inventaire M'!#REF!,0))),"Sell",INDEX('Inventaire M'!$A$2:$AD$9319,MATCH(R132,'Inventaire M'!$A:$A,0)-1,MATCH("poids",'Inventaire M'!#REF!,0))))</f>
        <v>#REF!</v>
      </c>
      <c r="AC132" s="175"/>
      <c r="AD132" s="157" t="str">
        <f t="shared" si="9"/>
        <v>0</v>
      </c>
      <c r="AE132" s="98" t="str">
        <f t="shared" si="10"/>
        <v/>
      </c>
      <c r="AF132" s="80" t="e">
        <f t="shared" si="11"/>
        <v>#REF!</v>
      </c>
    </row>
    <row r="133" spans="2:32" outlineLevel="1">
      <c r="B133" s="175" t="e">
        <f>IF(OR('Inventaire M'!#REF!="Dispo/Liquidité Investie",'Inventaire M'!#REF!="Option/Future",'Inventaire M'!#REF!="TCN",'Inventaire M'!#REF!=""),"-",'Inventaire M'!#REF!)</f>
        <v>#REF!</v>
      </c>
      <c r="C133" s="175" t="e">
        <f>IF(OR('Inventaire M'!#REF!="Dispo/Liquidité Investie",'Inventaire M'!#REF!="Option/Future",'Inventaire M'!#REF!="TCN",'Inventaire M'!#REF!=""),"-",'Inventaire M'!#REF!)</f>
        <v>#REF!</v>
      </c>
      <c r="D133" s="175"/>
      <c r="E133" s="175" t="e">
        <f>IF(B133="-","",INDEX('Inventaire M'!$A$2:$AW$9305,MATCH(B133,'Inventaire M'!$A:$A,0)-1,MATCH("Cours EUR",'Inventaire M'!#REF!,0)))</f>
        <v>#REF!</v>
      </c>
      <c r="F133" s="175" t="e">
        <f>IF(B133="-","",IF(ISERROR(INDEX('Inventaire M-1'!$A$2:$AZ$9320,MATCH(B133,'Inventaire M-1'!$A:$A,0)-1,MATCH("Cours EUR",'Inventaire M-1'!#REF!,0))),"Buy",INDEX('Inventaire M-1'!$A$2:$AZ$9320,MATCH(B133,'Inventaire M-1'!$A:$A,0)-1,MATCH("Cours EUR",'Inventaire M-1'!#REF!,0))))</f>
        <v>#REF!</v>
      </c>
      <c r="G133" s="175"/>
      <c r="H133" s="156" t="e">
        <f>IF(B133="-","",INDEX('Inventaire M'!$A$2:$AW$9305,MATCH(B133,'Inventaire M'!$A:$A,0)-1,MATCH("quantite",'Inventaire M'!#REF!,0)))</f>
        <v>#REF!</v>
      </c>
      <c r="I133" s="156" t="e">
        <f>IF(C133="-","",IF(ISERROR(INDEX('Inventaire M-1'!$A$2:$AZ$9320,MATCH(B133,'Inventaire M-1'!$A:$A,0)-1,MATCH("quantite",'Inventaire M-1'!#REF!,0))),"Buy",INDEX('Inventaire M-1'!$A$2:$AZ$9320,MATCH(B133,'Inventaire M-1'!$A:$A,0)-1,MATCH("quantite",'Inventaire M-1'!#REF!,0))))</f>
        <v>#REF!</v>
      </c>
      <c r="J133" s="175"/>
      <c r="K133" s="155" t="e">
        <f>IF(B133="-","",INDEX('Inventaire M'!$A$2:$AW$9305,MATCH(B133,'Inventaire M'!$A:$A,0)-1,MATCH("poids",'Inventaire M'!#REF!,0)))</f>
        <v>#REF!</v>
      </c>
      <c r="L133" s="155" t="e">
        <f>IF(B133="-","",IF(ISERROR(INDEX('Inventaire M-1'!$A$2:$AZ$9320,MATCH(B133,'Inventaire M-1'!$A:$A,0)-1,MATCH("poids",'Inventaire M-1'!#REF!,0))),"Buy",INDEX('Inventaire M-1'!$A$2:$AZ$9320,MATCH(B133,'Inventaire M-1'!$A:$A,0)-1,MATCH("poids",'Inventaire M-1'!#REF!,0))))</f>
        <v>#REF!</v>
      </c>
      <c r="M133" s="175"/>
      <c r="N133" s="157" t="str">
        <f t="shared" si="6"/>
        <v>0</v>
      </c>
      <c r="O133" s="98" t="str">
        <f t="shared" si="7"/>
        <v/>
      </c>
      <c r="P133" s="80" t="e">
        <f t="shared" si="8"/>
        <v>#REF!</v>
      </c>
      <c r="Q133" s="75">
        <v>1.09E-8</v>
      </c>
      <c r="R133" s="175" t="e">
        <f>IF(OR('Inventaire M-1'!#REF!="Dispo/Liquidité Investie",'Inventaire M-1'!#REF!="Option/Future",'Inventaire M-1'!#REF!="TCN",'Inventaire M-1'!#REF!=""),"-",'Inventaire M-1'!#REF!)</f>
        <v>#REF!</v>
      </c>
      <c r="S133" s="175" t="e">
        <f>IF(OR('Inventaire M-1'!#REF!="Dispo/Liquidité Investie",'Inventaire M-1'!#REF!="Option/Future",'Inventaire M-1'!#REF!="TCN",'Inventaire M-1'!#REF!=""),"-",'Inventaire M-1'!#REF!)</f>
        <v>#REF!</v>
      </c>
      <c r="T133" s="175"/>
      <c r="U133" s="175" t="e">
        <f>IF(R133="-","",INDEX('Inventaire M-1'!$A$2:$AG$9334,MATCH(R133,'Inventaire M-1'!$A:$A,0)-1,MATCH("Cours EUR",'Inventaire M-1'!#REF!,0)))</f>
        <v>#REF!</v>
      </c>
      <c r="V133" s="175" t="e">
        <f>IF(R133="-","",IF(ISERROR(INDEX('Inventaire M'!$A$2:$AD$9319,MATCH(R133,'Inventaire M'!$A:$A,0)-1,MATCH("Cours EUR",'Inventaire M'!#REF!,0))),"Sell",INDEX('Inventaire M'!$A$2:$AD$9319,MATCH(R133,'Inventaire M'!$A:$A,0)-1,MATCH("Cours EUR",'Inventaire M'!#REF!,0))))</f>
        <v>#REF!</v>
      </c>
      <c r="W133" s="175"/>
      <c r="X133" s="156" t="e">
        <f>IF(R133="-","",INDEX('Inventaire M-1'!$A$2:$AG$9334,MATCH(R133,'Inventaire M-1'!$A:$A,0)-1,MATCH("quantite",'Inventaire M-1'!#REF!,0)))</f>
        <v>#REF!</v>
      </c>
      <c r="Y133" s="156" t="e">
        <f>IF(S133="-","",IF(ISERROR(INDEX('Inventaire M'!$A$2:$AD$9319,MATCH(R133,'Inventaire M'!$A:$A,0)-1,MATCH("quantite",'Inventaire M'!#REF!,0))),"Sell",INDEX('Inventaire M'!$A$2:$AD$9319,MATCH(R133,'Inventaire M'!$A:$A,0)-1,MATCH("quantite",'Inventaire M'!#REF!,0))))</f>
        <v>#REF!</v>
      </c>
      <c r="Z133" s="175"/>
      <c r="AA133" s="155" t="e">
        <f>IF(R133="-","",INDEX('Inventaire M-1'!$A$2:$AG$9334,MATCH(R133,'Inventaire M-1'!$A:$A,0)-1,MATCH("poids",'Inventaire M-1'!#REF!,0)))</f>
        <v>#REF!</v>
      </c>
      <c r="AB133" s="155" t="e">
        <f>IF(R133="-","",IF(ISERROR(INDEX('Inventaire M'!$A$2:$AD$9319,MATCH(R133,'Inventaire M'!$A:$A,0)-1,MATCH("poids",'Inventaire M'!#REF!,0))),"Sell",INDEX('Inventaire M'!$A$2:$AD$9319,MATCH(R133,'Inventaire M'!$A:$A,0)-1,MATCH("poids",'Inventaire M'!#REF!,0))))</f>
        <v>#REF!</v>
      </c>
      <c r="AC133" s="175"/>
      <c r="AD133" s="157" t="str">
        <f t="shared" si="9"/>
        <v>0</v>
      </c>
      <c r="AE133" s="98" t="str">
        <f t="shared" si="10"/>
        <v/>
      </c>
      <c r="AF133" s="80" t="e">
        <f t="shared" si="11"/>
        <v>#REF!</v>
      </c>
    </row>
    <row r="134" spans="2:32" outlineLevel="1">
      <c r="B134" s="175" t="e">
        <f>IF(OR('Inventaire M'!#REF!="Dispo/Liquidité Investie",'Inventaire M'!#REF!="Option/Future",'Inventaire M'!#REF!="TCN",'Inventaire M'!#REF!=""),"-",'Inventaire M'!#REF!)</f>
        <v>#REF!</v>
      </c>
      <c r="C134" s="175" t="e">
        <f>IF(OR('Inventaire M'!#REF!="Dispo/Liquidité Investie",'Inventaire M'!#REF!="Option/Future",'Inventaire M'!#REF!="TCN",'Inventaire M'!#REF!=""),"-",'Inventaire M'!#REF!)</f>
        <v>#REF!</v>
      </c>
      <c r="D134" s="175"/>
      <c r="E134" s="175" t="e">
        <f>IF(B134="-","",INDEX('Inventaire M'!$A$2:$AW$9305,MATCH(B134,'Inventaire M'!$A:$A,0)-1,MATCH("Cours EUR",'Inventaire M'!#REF!,0)))</f>
        <v>#REF!</v>
      </c>
      <c r="F134" s="175" t="e">
        <f>IF(B134="-","",IF(ISERROR(INDEX('Inventaire M-1'!$A$2:$AZ$9320,MATCH(B134,'Inventaire M-1'!$A:$A,0)-1,MATCH("Cours EUR",'Inventaire M-1'!#REF!,0))),"Buy",INDEX('Inventaire M-1'!$A$2:$AZ$9320,MATCH(B134,'Inventaire M-1'!$A:$A,0)-1,MATCH("Cours EUR",'Inventaire M-1'!#REF!,0))))</f>
        <v>#REF!</v>
      </c>
      <c r="G134" s="175"/>
      <c r="H134" s="156" t="e">
        <f>IF(B134="-","",INDEX('Inventaire M'!$A$2:$AW$9305,MATCH(B134,'Inventaire M'!$A:$A,0)-1,MATCH("quantite",'Inventaire M'!#REF!,0)))</f>
        <v>#REF!</v>
      </c>
      <c r="I134" s="156" t="e">
        <f>IF(C134="-","",IF(ISERROR(INDEX('Inventaire M-1'!$A$2:$AZ$9320,MATCH(B134,'Inventaire M-1'!$A:$A,0)-1,MATCH("quantite",'Inventaire M-1'!#REF!,0))),"Buy",INDEX('Inventaire M-1'!$A$2:$AZ$9320,MATCH(B134,'Inventaire M-1'!$A:$A,0)-1,MATCH("quantite",'Inventaire M-1'!#REF!,0))))</f>
        <v>#REF!</v>
      </c>
      <c r="J134" s="175"/>
      <c r="K134" s="155" t="e">
        <f>IF(B134="-","",INDEX('Inventaire M'!$A$2:$AW$9305,MATCH(B134,'Inventaire M'!$A:$A,0)-1,MATCH("poids",'Inventaire M'!#REF!,0)))</f>
        <v>#REF!</v>
      </c>
      <c r="L134" s="155" t="e">
        <f>IF(B134="-","",IF(ISERROR(INDEX('Inventaire M-1'!$A$2:$AZ$9320,MATCH(B134,'Inventaire M-1'!$A:$A,0)-1,MATCH("poids",'Inventaire M-1'!#REF!,0))),"Buy",INDEX('Inventaire M-1'!$A$2:$AZ$9320,MATCH(B134,'Inventaire M-1'!$A:$A,0)-1,MATCH("poids",'Inventaire M-1'!#REF!,0))))</f>
        <v>#REF!</v>
      </c>
      <c r="M134" s="175"/>
      <c r="N134" s="157" t="str">
        <f t="shared" si="6"/>
        <v>0</v>
      </c>
      <c r="O134" s="98" t="str">
        <f t="shared" si="7"/>
        <v/>
      </c>
      <c r="P134" s="80" t="e">
        <f t="shared" si="8"/>
        <v>#REF!</v>
      </c>
      <c r="Q134" s="75">
        <v>1.0999999999999999E-8</v>
      </c>
      <c r="R134" s="175" t="e">
        <f>IF(OR('Inventaire M-1'!#REF!="Dispo/Liquidité Investie",'Inventaire M-1'!#REF!="Option/Future",'Inventaire M-1'!#REF!="TCN",'Inventaire M-1'!#REF!=""),"-",'Inventaire M-1'!#REF!)</f>
        <v>#REF!</v>
      </c>
      <c r="S134" s="175" t="e">
        <f>IF(OR('Inventaire M-1'!#REF!="Dispo/Liquidité Investie",'Inventaire M-1'!#REF!="Option/Future",'Inventaire M-1'!#REF!="TCN",'Inventaire M-1'!#REF!=""),"-",'Inventaire M-1'!#REF!)</f>
        <v>#REF!</v>
      </c>
      <c r="T134" s="175"/>
      <c r="U134" s="175" t="e">
        <f>IF(R134="-","",INDEX('Inventaire M-1'!$A$2:$AG$9334,MATCH(R134,'Inventaire M-1'!$A:$A,0)-1,MATCH("Cours EUR",'Inventaire M-1'!#REF!,0)))</f>
        <v>#REF!</v>
      </c>
      <c r="V134" s="175" t="e">
        <f>IF(R134="-","",IF(ISERROR(INDEX('Inventaire M'!$A$2:$AD$9319,MATCH(R134,'Inventaire M'!$A:$A,0)-1,MATCH("Cours EUR",'Inventaire M'!#REF!,0))),"Sell",INDEX('Inventaire M'!$A$2:$AD$9319,MATCH(R134,'Inventaire M'!$A:$A,0)-1,MATCH("Cours EUR",'Inventaire M'!#REF!,0))))</f>
        <v>#REF!</v>
      </c>
      <c r="W134" s="175"/>
      <c r="X134" s="156" t="e">
        <f>IF(R134="-","",INDEX('Inventaire M-1'!$A$2:$AG$9334,MATCH(R134,'Inventaire M-1'!$A:$A,0)-1,MATCH("quantite",'Inventaire M-1'!#REF!,0)))</f>
        <v>#REF!</v>
      </c>
      <c r="Y134" s="156" t="e">
        <f>IF(S134="-","",IF(ISERROR(INDEX('Inventaire M'!$A$2:$AD$9319,MATCH(R134,'Inventaire M'!$A:$A,0)-1,MATCH("quantite",'Inventaire M'!#REF!,0))),"Sell",INDEX('Inventaire M'!$A$2:$AD$9319,MATCH(R134,'Inventaire M'!$A:$A,0)-1,MATCH("quantite",'Inventaire M'!#REF!,0))))</f>
        <v>#REF!</v>
      </c>
      <c r="Z134" s="175"/>
      <c r="AA134" s="155" t="e">
        <f>IF(R134="-","",INDEX('Inventaire M-1'!$A$2:$AG$9334,MATCH(R134,'Inventaire M-1'!$A:$A,0)-1,MATCH("poids",'Inventaire M-1'!#REF!,0)))</f>
        <v>#REF!</v>
      </c>
      <c r="AB134" s="155" t="e">
        <f>IF(R134="-","",IF(ISERROR(INDEX('Inventaire M'!$A$2:$AD$9319,MATCH(R134,'Inventaire M'!$A:$A,0)-1,MATCH("poids",'Inventaire M'!#REF!,0))),"Sell",INDEX('Inventaire M'!$A$2:$AD$9319,MATCH(R134,'Inventaire M'!$A:$A,0)-1,MATCH("poids",'Inventaire M'!#REF!,0))))</f>
        <v>#REF!</v>
      </c>
      <c r="AC134" s="175"/>
      <c r="AD134" s="157" t="str">
        <f t="shared" si="9"/>
        <v>0</v>
      </c>
      <c r="AE134" s="98" t="str">
        <f t="shared" si="10"/>
        <v/>
      </c>
      <c r="AF134" s="80" t="e">
        <f t="shared" si="11"/>
        <v>#REF!</v>
      </c>
    </row>
    <row r="135" spans="2:32" outlineLevel="1">
      <c r="B135" s="175" t="e">
        <f>IF(OR('Inventaire M'!#REF!="Dispo/Liquidité Investie",'Inventaire M'!#REF!="Option/Future",'Inventaire M'!#REF!="TCN",'Inventaire M'!#REF!=""),"-",'Inventaire M'!#REF!)</f>
        <v>#REF!</v>
      </c>
      <c r="C135" s="175" t="e">
        <f>IF(OR('Inventaire M'!#REF!="Dispo/Liquidité Investie",'Inventaire M'!#REF!="Option/Future",'Inventaire M'!#REF!="TCN",'Inventaire M'!#REF!=""),"-",'Inventaire M'!#REF!)</f>
        <v>#REF!</v>
      </c>
      <c r="D135" s="175"/>
      <c r="E135" s="175" t="e">
        <f>IF(B135="-","",INDEX('Inventaire M'!$A$2:$AW$9305,MATCH(B135,'Inventaire M'!$A:$A,0)-1,MATCH("Cours EUR",'Inventaire M'!#REF!,0)))</f>
        <v>#REF!</v>
      </c>
      <c r="F135" s="175" t="e">
        <f>IF(B135="-","",IF(ISERROR(INDEX('Inventaire M-1'!$A$2:$AZ$9320,MATCH(B135,'Inventaire M-1'!$A:$A,0)-1,MATCH("Cours EUR",'Inventaire M-1'!#REF!,0))),"Buy",INDEX('Inventaire M-1'!$A$2:$AZ$9320,MATCH(B135,'Inventaire M-1'!$A:$A,0)-1,MATCH("Cours EUR",'Inventaire M-1'!#REF!,0))))</f>
        <v>#REF!</v>
      </c>
      <c r="G135" s="175"/>
      <c r="H135" s="156" t="e">
        <f>IF(B135="-","",INDEX('Inventaire M'!$A$2:$AW$9305,MATCH(B135,'Inventaire M'!$A:$A,0)-1,MATCH("quantite",'Inventaire M'!#REF!,0)))</f>
        <v>#REF!</v>
      </c>
      <c r="I135" s="156" t="e">
        <f>IF(C135="-","",IF(ISERROR(INDEX('Inventaire M-1'!$A$2:$AZ$9320,MATCH(B135,'Inventaire M-1'!$A:$A,0)-1,MATCH("quantite",'Inventaire M-1'!#REF!,0))),"Buy",INDEX('Inventaire M-1'!$A$2:$AZ$9320,MATCH(B135,'Inventaire M-1'!$A:$A,0)-1,MATCH("quantite",'Inventaire M-1'!#REF!,0))))</f>
        <v>#REF!</v>
      </c>
      <c r="J135" s="175"/>
      <c r="K135" s="155" t="e">
        <f>IF(B135="-","",INDEX('Inventaire M'!$A$2:$AW$9305,MATCH(B135,'Inventaire M'!$A:$A,0)-1,MATCH("poids",'Inventaire M'!#REF!,0)))</f>
        <v>#REF!</v>
      </c>
      <c r="L135" s="155" t="e">
        <f>IF(B135="-","",IF(ISERROR(INDEX('Inventaire M-1'!$A$2:$AZ$9320,MATCH(B135,'Inventaire M-1'!$A:$A,0)-1,MATCH("poids",'Inventaire M-1'!#REF!,0))),"Buy",INDEX('Inventaire M-1'!$A$2:$AZ$9320,MATCH(B135,'Inventaire M-1'!$A:$A,0)-1,MATCH("poids",'Inventaire M-1'!#REF!,0))))</f>
        <v>#REF!</v>
      </c>
      <c r="M135" s="175"/>
      <c r="N135" s="157" t="str">
        <f t="shared" si="6"/>
        <v>0</v>
      </c>
      <c r="O135" s="98" t="str">
        <f t="shared" si="7"/>
        <v/>
      </c>
      <c r="P135" s="80" t="e">
        <f t="shared" si="8"/>
        <v>#REF!</v>
      </c>
      <c r="Q135" s="75">
        <v>1.11E-8</v>
      </c>
      <c r="R135" s="175" t="e">
        <f>IF(OR('Inventaire M-1'!#REF!="Dispo/Liquidité Investie",'Inventaire M-1'!#REF!="Option/Future",'Inventaire M-1'!#REF!="TCN",'Inventaire M-1'!#REF!=""),"-",'Inventaire M-1'!#REF!)</f>
        <v>#REF!</v>
      </c>
      <c r="S135" s="175" t="e">
        <f>IF(OR('Inventaire M-1'!#REF!="Dispo/Liquidité Investie",'Inventaire M-1'!#REF!="Option/Future",'Inventaire M-1'!#REF!="TCN",'Inventaire M-1'!#REF!=""),"-",'Inventaire M-1'!#REF!)</f>
        <v>#REF!</v>
      </c>
      <c r="T135" s="175"/>
      <c r="U135" s="175" t="e">
        <f>IF(R135="-","",INDEX('Inventaire M-1'!$A$2:$AG$9334,MATCH(R135,'Inventaire M-1'!$A:$A,0)-1,MATCH("Cours EUR",'Inventaire M-1'!#REF!,0)))</f>
        <v>#REF!</v>
      </c>
      <c r="V135" s="175" t="e">
        <f>IF(R135="-","",IF(ISERROR(INDEX('Inventaire M'!$A$2:$AD$9319,MATCH(R135,'Inventaire M'!$A:$A,0)-1,MATCH("Cours EUR",'Inventaire M'!#REF!,0))),"Sell",INDEX('Inventaire M'!$A$2:$AD$9319,MATCH(R135,'Inventaire M'!$A:$A,0)-1,MATCH("Cours EUR",'Inventaire M'!#REF!,0))))</f>
        <v>#REF!</v>
      </c>
      <c r="W135" s="175"/>
      <c r="X135" s="156" t="e">
        <f>IF(R135="-","",INDEX('Inventaire M-1'!$A$2:$AG$9334,MATCH(R135,'Inventaire M-1'!$A:$A,0)-1,MATCH("quantite",'Inventaire M-1'!#REF!,0)))</f>
        <v>#REF!</v>
      </c>
      <c r="Y135" s="156" t="e">
        <f>IF(S135="-","",IF(ISERROR(INDEX('Inventaire M'!$A$2:$AD$9319,MATCH(R135,'Inventaire M'!$A:$A,0)-1,MATCH("quantite",'Inventaire M'!#REF!,0))),"Sell",INDEX('Inventaire M'!$A$2:$AD$9319,MATCH(R135,'Inventaire M'!$A:$A,0)-1,MATCH("quantite",'Inventaire M'!#REF!,0))))</f>
        <v>#REF!</v>
      </c>
      <c r="Z135" s="175"/>
      <c r="AA135" s="155" t="e">
        <f>IF(R135="-","",INDEX('Inventaire M-1'!$A$2:$AG$9334,MATCH(R135,'Inventaire M-1'!$A:$A,0)-1,MATCH("poids",'Inventaire M-1'!#REF!,0)))</f>
        <v>#REF!</v>
      </c>
      <c r="AB135" s="155" t="e">
        <f>IF(R135="-","",IF(ISERROR(INDEX('Inventaire M'!$A$2:$AD$9319,MATCH(R135,'Inventaire M'!$A:$A,0)-1,MATCH("poids",'Inventaire M'!#REF!,0))),"Sell",INDEX('Inventaire M'!$A$2:$AD$9319,MATCH(R135,'Inventaire M'!$A:$A,0)-1,MATCH("poids",'Inventaire M'!#REF!,0))))</f>
        <v>#REF!</v>
      </c>
      <c r="AC135" s="175"/>
      <c r="AD135" s="157" t="str">
        <f t="shared" si="9"/>
        <v>0</v>
      </c>
      <c r="AE135" s="98" t="str">
        <f t="shared" si="10"/>
        <v/>
      </c>
      <c r="AF135" s="80" t="e">
        <f t="shared" si="11"/>
        <v>#REF!</v>
      </c>
    </row>
    <row r="136" spans="2:32" outlineLevel="1">
      <c r="B136" s="175" t="e">
        <f>IF(OR('Inventaire M'!#REF!="Dispo/Liquidité Investie",'Inventaire M'!#REF!="Option/Future",'Inventaire M'!#REF!="TCN",'Inventaire M'!#REF!=""),"-",'Inventaire M'!#REF!)</f>
        <v>#REF!</v>
      </c>
      <c r="C136" s="175" t="e">
        <f>IF(OR('Inventaire M'!#REF!="Dispo/Liquidité Investie",'Inventaire M'!#REF!="Option/Future",'Inventaire M'!#REF!="TCN",'Inventaire M'!#REF!=""),"-",'Inventaire M'!#REF!)</f>
        <v>#REF!</v>
      </c>
      <c r="D136" s="175"/>
      <c r="E136" s="175" t="e">
        <f>IF(B136="-","",INDEX('Inventaire M'!$A$2:$AW$9305,MATCH(B136,'Inventaire M'!$A:$A,0)-1,MATCH("Cours EUR",'Inventaire M'!#REF!,0)))</f>
        <v>#REF!</v>
      </c>
      <c r="F136" s="175" t="e">
        <f>IF(B136="-","",IF(ISERROR(INDEX('Inventaire M-1'!$A$2:$AZ$9320,MATCH(B136,'Inventaire M-1'!$A:$A,0)-1,MATCH("Cours EUR",'Inventaire M-1'!#REF!,0))),"Buy",INDEX('Inventaire M-1'!$A$2:$AZ$9320,MATCH(B136,'Inventaire M-1'!$A:$A,0)-1,MATCH("Cours EUR",'Inventaire M-1'!#REF!,0))))</f>
        <v>#REF!</v>
      </c>
      <c r="G136" s="175"/>
      <c r="H136" s="156" t="e">
        <f>IF(B136="-","",INDEX('Inventaire M'!$A$2:$AW$9305,MATCH(B136,'Inventaire M'!$A:$A,0)-1,MATCH("quantite",'Inventaire M'!#REF!,0)))</f>
        <v>#REF!</v>
      </c>
      <c r="I136" s="156" t="e">
        <f>IF(C136="-","",IF(ISERROR(INDEX('Inventaire M-1'!$A$2:$AZ$9320,MATCH(B136,'Inventaire M-1'!$A:$A,0)-1,MATCH("quantite",'Inventaire M-1'!#REF!,0))),"Buy",INDEX('Inventaire M-1'!$A$2:$AZ$9320,MATCH(B136,'Inventaire M-1'!$A:$A,0)-1,MATCH("quantite",'Inventaire M-1'!#REF!,0))))</f>
        <v>#REF!</v>
      </c>
      <c r="J136" s="175"/>
      <c r="K136" s="155" t="e">
        <f>IF(B136="-","",INDEX('Inventaire M'!$A$2:$AW$9305,MATCH(B136,'Inventaire M'!$A:$A,0)-1,MATCH("poids",'Inventaire M'!#REF!,0)))</f>
        <v>#REF!</v>
      </c>
      <c r="L136" s="155" t="e">
        <f>IF(B136="-","",IF(ISERROR(INDEX('Inventaire M-1'!$A$2:$AZ$9320,MATCH(B136,'Inventaire M-1'!$A:$A,0)-1,MATCH("poids",'Inventaire M-1'!#REF!,0))),"Buy",INDEX('Inventaire M-1'!$A$2:$AZ$9320,MATCH(B136,'Inventaire M-1'!$A:$A,0)-1,MATCH("poids",'Inventaire M-1'!#REF!,0))))</f>
        <v>#REF!</v>
      </c>
      <c r="M136" s="175"/>
      <c r="N136" s="157" t="str">
        <f t="shared" si="6"/>
        <v>0</v>
      </c>
      <c r="O136" s="98" t="str">
        <f t="shared" si="7"/>
        <v/>
      </c>
      <c r="P136" s="80" t="e">
        <f t="shared" si="8"/>
        <v>#REF!</v>
      </c>
      <c r="Q136" s="75">
        <v>1.1199999999999999E-8</v>
      </c>
      <c r="R136" s="175" t="e">
        <f>IF(OR('Inventaire M-1'!#REF!="Dispo/Liquidité Investie",'Inventaire M-1'!#REF!="Option/Future",'Inventaire M-1'!#REF!="TCN",'Inventaire M-1'!#REF!=""),"-",'Inventaire M-1'!#REF!)</f>
        <v>#REF!</v>
      </c>
      <c r="S136" s="175" t="e">
        <f>IF(OR('Inventaire M-1'!#REF!="Dispo/Liquidité Investie",'Inventaire M-1'!#REF!="Option/Future",'Inventaire M-1'!#REF!="TCN",'Inventaire M-1'!#REF!=""),"-",'Inventaire M-1'!#REF!)</f>
        <v>#REF!</v>
      </c>
      <c r="T136" s="175"/>
      <c r="U136" s="175" t="e">
        <f>IF(R136="-","",INDEX('Inventaire M-1'!$A$2:$AG$9334,MATCH(R136,'Inventaire M-1'!$A:$A,0)-1,MATCH("Cours EUR",'Inventaire M-1'!#REF!,0)))</f>
        <v>#REF!</v>
      </c>
      <c r="V136" s="175" t="e">
        <f>IF(R136="-","",IF(ISERROR(INDEX('Inventaire M'!$A$2:$AD$9319,MATCH(R136,'Inventaire M'!$A:$A,0)-1,MATCH("Cours EUR",'Inventaire M'!#REF!,0))),"Sell",INDEX('Inventaire M'!$A$2:$AD$9319,MATCH(R136,'Inventaire M'!$A:$A,0)-1,MATCH("Cours EUR",'Inventaire M'!#REF!,0))))</f>
        <v>#REF!</v>
      </c>
      <c r="W136" s="175"/>
      <c r="X136" s="156" t="e">
        <f>IF(R136="-","",INDEX('Inventaire M-1'!$A$2:$AG$9334,MATCH(R136,'Inventaire M-1'!$A:$A,0)-1,MATCH("quantite",'Inventaire M-1'!#REF!,0)))</f>
        <v>#REF!</v>
      </c>
      <c r="Y136" s="156" t="e">
        <f>IF(S136="-","",IF(ISERROR(INDEX('Inventaire M'!$A$2:$AD$9319,MATCH(R136,'Inventaire M'!$A:$A,0)-1,MATCH("quantite",'Inventaire M'!#REF!,0))),"Sell",INDEX('Inventaire M'!$A$2:$AD$9319,MATCH(R136,'Inventaire M'!$A:$A,0)-1,MATCH("quantite",'Inventaire M'!#REF!,0))))</f>
        <v>#REF!</v>
      </c>
      <c r="Z136" s="175"/>
      <c r="AA136" s="155" t="e">
        <f>IF(R136="-","",INDEX('Inventaire M-1'!$A$2:$AG$9334,MATCH(R136,'Inventaire M-1'!$A:$A,0)-1,MATCH("poids",'Inventaire M-1'!#REF!,0)))</f>
        <v>#REF!</v>
      </c>
      <c r="AB136" s="155" t="e">
        <f>IF(R136="-","",IF(ISERROR(INDEX('Inventaire M'!$A$2:$AD$9319,MATCH(R136,'Inventaire M'!$A:$A,0)-1,MATCH("poids",'Inventaire M'!#REF!,0))),"Sell",INDEX('Inventaire M'!$A$2:$AD$9319,MATCH(R136,'Inventaire M'!$A:$A,0)-1,MATCH("poids",'Inventaire M'!#REF!,0))))</f>
        <v>#REF!</v>
      </c>
      <c r="AC136" s="175"/>
      <c r="AD136" s="157" t="str">
        <f t="shared" si="9"/>
        <v>0</v>
      </c>
      <c r="AE136" s="98" t="str">
        <f t="shared" si="10"/>
        <v/>
      </c>
      <c r="AF136" s="80" t="e">
        <f t="shared" si="11"/>
        <v>#REF!</v>
      </c>
    </row>
    <row r="137" spans="2:32" outlineLevel="1">
      <c r="B137" s="175" t="e">
        <f>IF(OR('Inventaire M'!#REF!="Dispo/Liquidité Investie",'Inventaire M'!#REF!="Option/Future",'Inventaire M'!#REF!="TCN",'Inventaire M'!#REF!=""),"-",'Inventaire M'!#REF!)</f>
        <v>#REF!</v>
      </c>
      <c r="C137" s="175" t="e">
        <f>IF(OR('Inventaire M'!#REF!="Dispo/Liquidité Investie",'Inventaire M'!#REF!="Option/Future",'Inventaire M'!#REF!="TCN",'Inventaire M'!#REF!=""),"-",'Inventaire M'!#REF!)</f>
        <v>#REF!</v>
      </c>
      <c r="D137" s="175"/>
      <c r="E137" s="175" t="e">
        <f>IF(B137="-","",INDEX('Inventaire M'!$A$2:$AW$9305,MATCH(B137,'Inventaire M'!$A:$A,0)-1,MATCH("Cours EUR",'Inventaire M'!#REF!,0)))</f>
        <v>#REF!</v>
      </c>
      <c r="F137" s="175" t="e">
        <f>IF(B137="-","",IF(ISERROR(INDEX('Inventaire M-1'!$A$2:$AZ$9320,MATCH(B137,'Inventaire M-1'!$A:$A,0)-1,MATCH("Cours EUR",'Inventaire M-1'!#REF!,0))),"Buy",INDEX('Inventaire M-1'!$A$2:$AZ$9320,MATCH(B137,'Inventaire M-1'!$A:$A,0)-1,MATCH("Cours EUR",'Inventaire M-1'!#REF!,0))))</f>
        <v>#REF!</v>
      </c>
      <c r="G137" s="175"/>
      <c r="H137" s="156" t="e">
        <f>IF(B137="-","",INDEX('Inventaire M'!$A$2:$AW$9305,MATCH(B137,'Inventaire M'!$A:$A,0)-1,MATCH("quantite",'Inventaire M'!#REF!,0)))</f>
        <v>#REF!</v>
      </c>
      <c r="I137" s="156" t="e">
        <f>IF(C137="-","",IF(ISERROR(INDEX('Inventaire M-1'!$A$2:$AZ$9320,MATCH(B137,'Inventaire M-1'!$A:$A,0)-1,MATCH("quantite",'Inventaire M-1'!#REF!,0))),"Buy",INDEX('Inventaire M-1'!$A$2:$AZ$9320,MATCH(B137,'Inventaire M-1'!$A:$A,0)-1,MATCH("quantite",'Inventaire M-1'!#REF!,0))))</f>
        <v>#REF!</v>
      </c>
      <c r="J137" s="175"/>
      <c r="K137" s="155" t="e">
        <f>IF(B137="-","",INDEX('Inventaire M'!$A$2:$AW$9305,MATCH(B137,'Inventaire M'!$A:$A,0)-1,MATCH("poids",'Inventaire M'!#REF!,0)))</f>
        <v>#REF!</v>
      </c>
      <c r="L137" s="155" t="e">
        <f>IF(B137="-","",IF(ISERROR(INDEX('Inventaire M-1'!$A$2:$AZ$9320,MATCH(B137,'Inventaire M-1'!$A:$A,0)-1,MATCH("poids",'Inventaire M-1'!#REF!,0))),"Buy",INDEX('Inventaire M-1'!$A$2:$AZ$9320,MATCH(B137,'Inventaire M-1'!$A:$A,0)-1,MATCH("poids",'Inventaire M-1'!#REF!,0))))</f>
        <v>#REF!</v>
      </c>
      <c r="M137" s="175"/>
      <c r="N137" s="157" t="str">
        <f t="shared" si="6"/>
        <v>0</v>
      </c>
      <c r="O137" s="98" t="str">
        <f t="shared" si="7"/>
        <v/>
      </c>
      <c r="P137" s="80" t="e">
        <f t="shared" si="8"/>
        <v>#REF!</v>
      </c>
      <c r="Q137" s="75">
        <v>1.13E-8</v>
      </c>
      <c r="R137" s="175" t="e">
        <f>IF(OR('Inventaire M-1'!#REF!="Dispo/Liquidité Investie",'Inventaire M-1'!#REF!="Option/Future",'Inventaire M-1'!#REF!="TCN",'Inventaire M-1'!#REF!=""),"-",'Inventaire M-1'!#REF!)</f>
        <v>#REF!</v>
      </c>
      <c r="S137" s="175" t="e">
        <f>IF(OR('Inventaire M-1'!#REF!="Dispo/Liquidité Investie",'Inventaire M-1'!#REF!="Option/Future",'Inventaire M-1'!#REF!="TCN",'Inventaire M-1'!#REF!=""),"-",'Inventaire M-1'!#REF!)</f>
        <v>#REF!</v>
      </c>
      <c r="T137" s="175"/>
      <c r="U137" s="175" t="e">
        <f>IF(R137="-","",INDEX('Inventaire M-1'!$A$2:$AG$9334,MATCH(R137,'Inventaire M-1'!$A:$A,0)-1,MATCH("Cours EUR",'Inventaire M-1'!#REF!,0)))</f>
        <v>#REF!</v>
      </c>
      <c r="V137" s="175" t="e">
        <f>IF(R137="-","",IF(ISERROR(INDEX('Inventaire M'!$A$2:$AD$9319,MATCH(R137,'Inventaire M'!$A:$A,0)-1,MATCH("Cours EUR",'Inventaire M'!#REF!,0))),"Sell",INDEX('Inventaire M'!$A$2:$AD$9319,MATCH(R137,'Inventaire M'!$A:$A,0)-1,MATCH("Cours EUR",'Inventaire M'!#REF!,0))))</f>
        <v>#REF!</v>
      </c>
      <c r="W137" s="175"/>
      <c r="X137" s="156" t="e">
        <f>IF(R137="-","",INDEX('Inventaire M-1'!$A$2:$AG$9334,MATCH(R137,'Inventaire M-1'!$A:$A,0)-1,MATCH("quantite",'Inventaire M-1'!#REF!,0)))</f>
        <v>#REF!</v>
      </c>
      <c r="Y137" s="156" t="e">
        <f>IF(S137="-","",IF(ISERROR(INDEX('Inventaire M'!$A$2:$AD$9319,MATCH(R137,'Inventaire M'!$A:$A,0)-1,MATCH("quantite",'Inventaire M'!#REF!,0))),"Sell",INDEX('Inventaire M'!$A$2:$AD$9319,MATCH(R137,'Inventaire M'!$A:$A,0)-1,MATCH("quantite",'Inventaire M'!#REF!,0))))</f>
        <v>#REF!</v>
      </c>
      <c r="Z137" s="175"/>
      <c r="AA137" s="155" t="e">
        <f>IF(R137="-","",INDEX('Inventaire M-1'!$A$2:$AG$9334,MATCH(R137,'Inventaire M-1'!$A:$A,0)-1,MATCH("poids",'Inventaire M-1'!#REF!,0)))</f>
        <v>#REF!</v>
      </c>
      <c r="AB137" s="155" t="e">
        <f>IF(R137="-","",IF(ISERROR(INDEX('Inventaire M'!$A$2:$AD$9319,MATCH(R137,'Inventaire M'!$A:$A,0)-1,MATCH("poids",'Inventaire M'!#REF!,0))),"Sell",INDEX('Inventaire M'!$A$2:$AD$9319,MATCH(R137,'Inventaire M'!$A:$A,0)-1,MATCH("poids",'Inventaire M'!#REF!,0))))</f>
        <v>#REF!</v>
      </c>
      <c r="AC137" s="175"/>
      <c r="AD137" s="157" t="str">
        <f t="shared" si="9"/>
        <v>0</v>
      </c>
      <c r="AE137" s="98" t="str">
        <f t="shared" si="10"/>
        <v/>
      </c>
      <c r="AF137" s="80" t="e">
        <f t="shared" si="11"/>
        <v>#REF!</v>
      </c>
    </row>
    <row r="138" spans="2:32" outlineLevel="1">
      <c r="B138" s="175" t="e">
        <f>IF(OR('Inventaire M'!#REF!="Dispo/Liquidité Investie",'Inventaire M'!#REF!="Option/Future",'Inventaire M'!#REF!="TCN",'Inventaire M'!#REF!=""),"-",'Inventaire M'!#REF!)</f>
        <v>#REF!</v>
      </c>
      <c r="C138" s="175" t="e">
        <f>IF(OR('Inventaire M'!#REF!="Dispo/Liquidité Investie",'Inventaire M'!#REF!="Option/Future",'Inventaire M'!#REF!="TCN",'Inventaire M'!#REF!=""),"-",'Inventaire M'!#REF!)</f>
        <v>#REF!</v>
      </c>
      <c r="D138" s="175"/>
      <c r="E138" s="175" t="e">
        <f>IF(B138="-","",INDEX('Inventaire M'!$A$2:$AW$9305,MATCH(B138,'Inventaire M'!$A:$A,0)-1,MATCH("Cours EUR",'Inventaire M'!#REF!,0)))</f>
        <v>#REF!</v>
      </c>
      <c r="F138" s="175" t="e">
        <f>IF(B138="-","",IF(ISERROR(INDEX('Inventaire M-1'!$A$2:$AZ$9320,MATCH(B138,'Inventaire M-1'!$A:$A,0)-1,MATCH("Cours EUR",'Inventaire M-1'!#REF!,0))),"Buy",INDEX('Inventaire M-1'!$A$2:$AZ$9320,MATCH(B138,'Inventaire M-1'!$A:$A,0)-1,MATCH("Cours EUR",'Inventaire M-1'!#REF!,0))))</f>
        <v>#REF!</v>
      </c>
      <c r="G138" s="175"/>
      <c r="H138" s="156" t="e">
        <f>IF(B138="-","",INDEX('Inventaire M'!$A$2:$AW$9305,MATCH(B138,'Inventaire M'!$A:$A,0)-1,MATCH("quantite",'Inventaire M'!#REF!,0)))</f>
        <v>#REF!</v>
      </c>
      <c r="I138" s="156" t="e">
        <f>IF(C138="-","",IF(ISERROR(INDEX('Inventaire M-1'!$A$2:$AZ$9320,MATCH(B138,'Inventaire M-1'!$A:$A,0)-1,MATCH("quantite",'Inventaire M-1'!#REF!,0))),"Buy",INDEX('Inventaire M-1'!$A$2:$AZ$9320,MATCH(B138,'Inventaire M-1'!$A:$A,0)-1,MATCH("quantite",'Inventaire M-1'!#REF!,0))))</f>
        <v>#REF!</v>
      </c>
      <c r="J138" s="175"/>
      <c r="K138" s="155" t="e">
        <f>IF(B138="-","",INDEX('Inventaire M'!$A$2:$AW$9305,MATCH(B138,'Inventaire M'!$A:$A,0)-1,MATCH("poids",'Inventaire M'!#REF!,0)))</f>
        <v>#REF!</v>
      </c>
      <c r="L138" s="155" t="e">
        <f>IF(B138="-","",IF(ISERROR(INDEX('Inventaire M-1'!$A$2:$AZ$9320,MATCH(B138,'Inventaire M-1'!$A:$A,0)-1,MATCH("poids",'Inventaire M-1'!#REF!,0))),"Buy",INDEX('Inventaire M-1'!$A$2:$AZ$9320,MATCH(B138,'Inventaire M-1'!$A:$A,0)-1,MATCH("poids",'Inventaire M-1'!#REF!,0))))</f>
        <v>#REF!</v>
      </c>
      <c r="M138" s="175"/>
      <c r="N138" s="157" t="str">
        <f t="shared" si="6"/>
        <v>0</v>
      </c>
      <c r="O138" s="98" t="str">
        <f t="shared" si="7"/>
        <v/>
      </c>
      <c r="P138" s="80" t="e">
        <f t="shared" si="8"/>
        <v>#REF!</v>
      </c>
      <c r="Q138" s="75">
        <v>1.14E-8</v>
      </c>
      <c r="R138" s="175" t="e">
        <f>IF(OR('Inventaire M-1'!#REF!="Dispo/Liquidité Investie",'Inventaire M-1'!#REF!="Option/Future",'Inventaire M-1'!#REF!="TCN",'Inventaire M-1'!#REF!=""),"-",'Inventaire M-1'!#REF!)</f>
        <v>#REF!</v>
      </c>
      <c r="S138" s="175" t="e">
        <f>IF(OR('Inventaire M-1'!#REF!="Dispo/Liquidité Investie",'Inventaire M-1'!#REF!="Option/Future",'Inventaire M-1'!#REF!="TCN",'Inventaire M-1'!#REF!=""),"-",'Inventaire M-1'!#REF!)</f>
        <v>#REF!</v>
      </c>
      <c r="T138" s="175"/>
      <c r="U138" s="175" t="e">
        <f>IF(R138="-","",INDEX('Inventaire M-1'!$A$2:$AG$9334,MATCH(R138,'Inventaire M-1'!$A:$A,0)-1,MATCH("Cours EUR",'Inventaire M-1'!#REF!,0)))</f>
        <v>#REF!</v>
      </c>
      <c r="V138" s="175" t="e">
        <f>IF(R138="-","",IF(ISERROR(INDEX('Inventaire M'!$A$2:$AD$9319,MATCH(R138,'Inventaire M'!$A:$A,0)-1,MATCH("Cours EUR",'Inventaire M'!#REF!,0))),"Sell",INDEX('Inventaire M'!$A$2:$AD$9319,MATCH(R138,'Inventaire M'!$A:$A,0)-1,MATCH("Cours EUR",'Inventaire M'!#REF!,0))))</f>
        <v>#REF!</v>
      </c>
      <c r="W138" s="175"/>
      <c r="X138" s="156" t="e">
        <f>IF(R138="-","",INDEX('Inventaire M-1'!$A$2:$AG$9334,MATCH(R138,'Inventaire M-1'!$A:$A,0)-1,MATCH("quantite",'Inventaire M-1'!#REF!,0)))</f>
        <v>#REF!</v>
      </c>
      <c r="Y138" s="156" t="e">
        <f>IF(S138="-","",IF(ISERROR(INDEX('Inventaire M'!$A$2:$AD$9319,MATCH(R138,'Inventaire M'!$A:$A,0)-1,MATCH("quantite",'Inventaire M'!#REF!,0))),"Sell",INDEX('Inventaire M'!$A$2:$AD$9319,MATCH(R138,'Inventaire M'!$A:$A,0)-1,MATCH("quantite",'Inventaire M'!#REF!,0))))</f>
        <v>#REF!</v>
      </c>
      <c r="Z138" s="175"/>
      <c r="AA138" s="155" t="e">
        <f>IF(R138="-","",INDEX('Inventaire M-1'!$A$2:$AG$9334,MATCH(R138,'Inventaire M-1'!$A:$A,0)-1,MATCH("poids",'Inventaire M-1'!#REF!,0)))</f>
        <v>#REF!</v>
      </c>
      <c r="AB138" s="155" t="e">
        <f>IF(R138="-","",IF(ISERROR(INDEX('Inventaire M'!$A$2:$AD$9319,MATCH(R138,'Inventaire M'!$A:$A,0)-1,MATCH("poids",'Inventaire M'!#REF!,0))),"Sell",INDEX('Inventaire M'!$A$2:$AD$9319,MATCH(R138,'Inventaire M'!$A:$A,0)-1,MATCH("poids",'Inventaire M'!#REF!,0))))</f>
        <v>#REF!</v>
      </c>
      <c r="AC138" s="175"/>
      <c r="AD138" s="157" t="str">
        <f t="shared" si="9"/>
        <v>0</v>
      </c>
      <c r="AE138" s="98" t="str">
        <f t="shared" si="10"/>
        <v/>
      </c>
      <c r="AF138" s="80" t="e">
        <f t="shared" si="11"/>
        <v>#REF!</v>
      </c>
    </row>
    <row r="139" spans="2:32" outlineLevel="1">
      <c r="B139" s="175" t="e">
        <f>IF(OR('Inventaire M'!#REF!="Dispo/Liquidité Investie",'Inventaire M'!#REF!="Option/Future",'Inventaire M'!#REF!="TCN",'Inventaire M'!#REF!=""),"-",'Inventaire M'!#REF!)</f>
        <v>#REF!</v>
      </c>
      <c r="C139" s="175" t="e">
        <f>IF(OR('Inventaire M'!#REF!="Dispo/Liquidité Investie",'Inventaire M'!#REF!="Option/Future",'Inventaire M'!#REF!="TCN",'Inventaire M'!#REF!=""),"-",'Inventaire M'!#REF!)</f>
        <v>#REF!</v>
      </c>
      <c r="D139" s="175"/>
      <c r="E139" s="175" t="e">
        <f>IF(B139="-","",INDEX('Inventaire M'!$A$2:$AW$9305,MATCH(B139,'Inventaire M'!$A:$A,0)-1,MATCH("Cours EUR",'Inventaire M'!#REF!,0)))</f>
        <v>#REF!</v>
      </c>
      <c r="F139" s="175" t="e">
        <f>IF(B139="-","",IF(ISERROR(INDEX('Inventaire M-1'!$A$2:$AZ$9320,MATCH(B139,'Inventaire M-1'!$A:$A,0)-1,MATCH("Cours EUR",'Inventaire M-1'!#REF!,0))),"Buy",INDEX('Inventaire M-1'!$A$2:$AZ$9320,MATCH(B139,'Inventaire M-1'!$A:$A,0)-1,MATCH("Cours EUR",'Inventaire M-1'!#REF!,0))))</f>
        <v>#REF!</v>
      </c>
      <c r="G139" s="175"/>
      <c r="H139" s="156" t="e">
        <f>IF(B139="-","",INDEX('Inventaire M'!$A$2:$AW$9305,MATCH(B139,'Inventaire M'!$A:$A,0)-1,MATCH("quantite",'Inventaire M'!#REF!,0)))</f>
        <v>#REF!</v>
      </c>
      <c r="I139" s="156" t="e">
        <f>IF(C139="-","",IF(ISERROR(INDEX('Inventaire M-1'!$A$2:$AZ$9320,MATCH(B139,'Inventaire M-1'!$A:$A,0)-1,MATCH("quantite",'Inventaire M-1'!#REF!,0))),"Buy",INDEX('Inventaire M-1'!$A$2:$AZ$9320,MATCH(B139,'Inventaire M-1'!$A:$A,0)-1,MATCH("quantite",'Inventaire M-1'!#REF!,0))))</f>
        <v>#REF!</v>
      </c>
      <c r="J139" s="175"/>
      <c r="K139" s="155" t="e">
        <f>IF(B139="-","",INDEX('Inventaire M'!$A$2:$AW$9305,MATCH(B139,'Inventaire M'!$A:$A,0)-1,MATCH("poids",'Inventaire M'!#REF!,0)))</f>
        <v>#REF!</v>
      </c>
      <c r="L139" s="155" t="e">
        <f>IF(B139="-","",IF(ISERROR(INDEX('Inventaire M-1'!$A$2:$AZ$9320,MATCH(B139,'Inventaire M-1'!$A:$A,0)-1,MATCH("poids",'Inventaire M-1'!#REF!,0))),"Buy",INDEX('Inventaire M-1'!$A$2:$AZ$9320,MATCH(B139,'Inventaire M-1'!$A:$A,0)-1,MATCH("poids",'Inventaire M-1'!#REF!,0))))</f>
        <v>#REF!</v>
      </c>
      <c r="M139" s="175"/>
      <c r="N139" s="157" t="str">
        <f t="shared" si="6"/>
        <v>0</v>
      </c>
      <c r="O139" s="98" t="str">
        <f t="shared" si="7"/>
        <v/>
      </c>
      <c r="P139" s="80" t="e">
        <f t="shared" si="8"/>
        <v>#REF!</v>
      </c>
      <c r="Q139" s="75">
        <v>1.15E-8</v>
      </c>
      <c r="R139" s="175" t="e">
        <f>IF(OR('Inventaire M-1'!#REF!="Dispo/Liquidité Investie",'Inventaire M-1'!#REF!="Option/Future",'Inventaire M-1'!#REF!="TCN",'Inventaire M-1'!#REF!=""),"-",'Inventaire M-1'!#REF!)</f>
        <v>#REF!</v>
      </c>
      <c r="S139" s="175" t="e">
        <f>IF(OR('Inventaire M-1'!#REF!="Dispo/Liquidité Investie",'Inventaire M-1'!#REF!="Option/Future",'Inventaire M-1'!#REF!="TCN",'Inventaire M-1'!#REF!=""),"-",'Inventaire M-1'!#REF!)</f>
        <v>#REF!</v>
      </c>
      <c r="T139" s="175"/>
      <c r="U139" s="175" t="e">
        <f>IF(R139="-","",INDEX('Inventaire M-1'!$A$2:$AG$9334,MATCH(R139,'Inventaire M-1'!$A:$A,0)-1,MATCH("Cours EUR",'Inventaire M-1'!#REF!,0)))</f>
        <v>#REF!</v>
      </c>
      <c r="V139" s="175" t="e">
        <f>IF(R139="-","",IF(ISERROR(INDEX('Inventaire M'!$A$2:$AD$9319,MATCH(R139,'Inventaire M'!$A:$A,0)-1,MATCH("Cours EUR",'Inventaire M'!#REF!,0))),"Sell",INDEX('Inventaire M'!$A$2:$AD$9319,MATCH(R139,'Inventaire M'!$A:$A,0)-1,MATCH("Cours EUR",'Inventaire M'!#REF!,0))))</f>
        <v>#REF!</v>
      </c>
      <c r="W139" s="175"/>
      <c r="X139" s="156" t="e">
        <f>IF(R139="-","",INDEX('Inventaire M-1'!$A$2:$AG$9334,MATCH(R139,'Inventaire M-1'!$A:$A,0)-1,MATCH("quantite",'Inventaire M-1'!#REF!,0)))</f>
        <v>#REF!</v>
      </c>
      <c r="Y139" s="156" t="e">
        <f>IF(S139="-","",IF(ISERROR(INDEX('Inventaire M'!$A$2:$AD$9319,MATCH(R139,'Inventaire M'!$A:$A,0)-1,MATCH("quantite",'Inventaire M'!#REF!,0))),"Sell",INDEX('Inventaire M'!$A$2:$AD$9319,MATCH(R139,'Inventaire M'!$A:$A,0)-1,MATCH("quantite",'Inventaire M'!#REF!,0))))</f>
        <v>#REF!</v>
      </c>
      <c r="Z139" s="175"/>
      <c r="AA139" s="155" t="e">
        <f>IF(R139="-","",INDEX('Inventaire M-1'!$A$2:$AG$9334,MATCH(R139,'Inventaire M-1'!$A:$A,0)-1,MATCH("poids",'Inventaire M-1'!#REF!,0)))</f>
        <v>#REF!</v>
      </c>
      <c r="AB139" s="155" t="e">
        <f>IF(R139="-","",IF(ISERROR(INDEX('Inventaire M'!$A$2:$AD$9319,MATCH(R139,'Inventaire M'!$A:$A,0)-1,MATCH("poids",'Inventaire M'!#REF!,0))),"Sell",INDEX('Inventaire M'!$A$2:$AD$9319,MATCH(R139,'Inventaire M'!$A:$A,0)-1,MATCH("poids",'Inventaire M'!#REF!,0))))</f>
        <v>#REF!</v>
      </c>
      <c r="AC139" s="175"/>
      <c r="AD139" s="157" t="str">
        <f t="shared" si="9"/>
        <v>0</v>
      </c>
      <c r="AE139" s="98" t="str">
        <f t="shared" si="10"/>
        <v/>
      </c>
      <c r="AF139" s="80" t="e">
        <f t="shared" si="11"/>
        <v>#REF!</v>
      </c>
    </row>
    <row r="140" spans="2:32" outlineLevel="1">
      <c r="B140" s="175" t="e">
        <f>IF(OR('Inventaire M'!#REF!="Dispo/Liquidité Investie",'Inventaire M'!#REF!="Option/Future",'Inventaire M'!#REF!="TCN",'Inventaire M'!#REF!=""),"-",'Inventaire M'!#REF!)</f>
        <v>#REF!</v>
      </c>
      <c r="C140" s="175" t="e">
        <f>IF(OR('Inventaire M'!#REF!="Dispo/Liquidité Investie",'Inventaire M'!#REF!="Option/Future",'Inventaire M'!#REF!="TCN",'Inventaire M'!#REF!=""),"-",'Inventaire M'!#REF!)</f>
        <v>#REF!</v>
      </c>
      <c r="D140" s="175"/>
      <c r="E140" s="175" t="e">
        <f>IF(B140="-","",INDEX('Inventaire M'!$A$2:$AW$9305,MATCH(B140,'Inventaire M'!$A:$A,0)-1,MATCH("Cours EUR",'Inventaire M'!#REF!,0)))</f>
        <v>#REF!</v>
      </c>
      <c r="F140" s="175" t="e">
        <f>IF(B140="-","",IF(ISERROR(INDEX('Inventaire M-1'!$A$2:$AZ$9320,MATCH(B140,'Inventaire M-1'!$A:$A,0)-1,MATCH("Cours EUR",'Inventaire M-1'!#REF!,0))),"Buy",INDEX('Inventaire M-1'!$A$2:$AZ$9320,MATCH(B140,'Inventaire M-1'!$A:$A,0)-1,MATCH("Cours EUR",'Inventaire M-1'!#REF!,0))))</f>
        <v>#REF!</v>
      </c>
      <c r="G140" s="175"/>
      <c r="H140" s="156" t="e">
        <f>IF(B140="-","",INDEX('Inventaire M'!$A$2:$AW$9305,MATCH(B140,'Inventaire M'!$A:$A,0)-1,MATCH("quantite",'Inventaire M'!#REF!,0)))</f>
        <v>#REF!</v>
      </c>
      <c r="I140" s="156" t="e">
        <f>IF(C140="-","",IF(ISERROR(INDEX('Inventaire M-1'!$A$2:$AZ$9320,MATCH(B140,'Inventaire M-1'!$A:$A,0)-1,MATCH("quantite",'Inventaire M-1'!#REF!,0))),"Buy",INDEX('Inventaire M-1'!$A$2:$AZ$9320,MATCH(B140,'Inventaire M-1'!$A:$A,0)-1,MATCH("quantite",'Inventaire M-1'!#REF!,0))))</f>
        <v>#REF!</v>
      </c>
      <c r="J140" s="175"/>
      <c r="K140" s="155" t="e">
        <f>IF(B140="-","",INDEX('Inventaire M'!$A$2:$AW$9305,MATCH(B140,'Inventaire M'!$A:$A,0)-1,MATCH("poids",'Inventaire M'!#REF!,0)))</f>
        <v>#REF!</v>
      </c>
      <c r="L140" s="155" t="e">
        <f>IF(B140="-","",IF(ISERROR(INDEX('Inventaire M-1'!$A$2:$AZ$9320,MATCH(B140,'Inventaire M-1'!$A:$A,0)-1,MATCH("poids",'Inventaire M-1'!#REF!,0))),"Buy",INDEX('Inventaire M-1'!$A$2:$AZ$9320,MATCH(B140,'Inventaire M-1'!$A:$A,0)-1,MATCH("poids",'Inventaire M-1'!#REF!,0))))</f>
        <v>#REF!</v>
      </c>
      <c r="M140" s="175"/>
      <c r="N140" s="157" t="str">
        <f t="shared" si="6"/>
        <v>0</v>
      </c>
      <c r="O140" s="98" t="str">
        <f t="shared" si="7"/>
        <v/>
      </c>
      <c r="P140" s="80" t="e">
        <f t="shared" si="8"/>
        <v>#REF!</v>
      </c>
      <c r="Q140" s="75">
        <v>1.16E-8</v>
      </c>
      <c r="R140" s="175" t="e">
        <f>IF(OR('Inventaire M-1'!#REF!="Dispo/Liquidité Investie",'Inventaire M-1'!#REF!="Option/Future",'Inventaire M-1'!#REF!="TCN",'Inventaire M-1'!#REF!=""),"-",'Inventaire M-1'!#REF!)</f>
        <v>#REF!</v>
      </c>
      <c r="S140" s="175" t="e">
        <f>IF(OR('Inventaire M-1'!#REF!="Dispo/Liquidité Investie",'Inventaire M-1'!#REF!="Option/Future",'Inventaire M-1'!#REF!="TCN",'Inventaire M-1'!#REF!=""),"-",'Inventaire M-1'!#REF!)</f>
        <v>#REF!</v>
      </c>
      <c r="T140" s="175"/>
      <c r="U140" s="175" t="e">
        <f>IF(R140="-","",INDEX('Inventaire M-1'!$A$2:$AG$9334,MATCH(R140,'Inventaire M-1'!$A:$A,0)-1,MATCH("Cours EUR",'Inventaire M-1'!#REF!,0)))</f>
        <v>#REF!</v>
      </c>
      <c r="V140" s="175" t="e">
        <f>IF(R140="-","",IF(ISERROR(INDEX('Inventaire M'!$A$2:$AD$9319,MATCH(R140,'Inventaire M'!$A:$A,0)-1,MATCH("Cours EUR",'Inventaire M'!#REF!,0))),"Sell",INDEX('Inventaire M'!$A$2:$AD$9319,MATCH(R140,'Inventaire M'!$A:$A,0)-1,MATCH("Cours EUR",'Inventaire M'!#REF!,0))))</f>
        <v>#REF!</v>
      </c>
      <c r="W140" s="175"/>
      <c r="X140" s="156" t="e">
        <f>IF(R140="-","",INDEX('Inventaire M-1'!$A$2:$AG$9334,MATCH(R140,'Inventaire M-1'!$A:$A,0)-1,MATCH("quantite",'Inventaire M-1'!#REF!,0)))</f>
        <v>#REF!</v>
      </c>
      <c r="Y140" s="156" t="e">
        <f>IF(S140="-","",IF(ISERROR(INDEX('Inventaire M'!$A$2:$AD$9319,MATCH(R140,'Inventaire M'!$A:$A,0)-1,MATCH("quantite",'Inventaire M'!#REF!,0))),"Sell",INDEX('Inventaire M'!$A$2:$AD$9319,MATCH(R140,'Inventaire M'!$A:$A,0)-1,MATCH("quantite",'Inventaire M'!#REF!,0))))</f>
        <v>#REF!</v>
      </c>
      <c r="Z140" s="175"/>
      <c r="AA140" s="155" t="e">
        <f>IF(R140="-","",INDEX('Inventaire M-1'!$A$2:$AG$9334,MATCH(R140,'Inventaire M-1'!$A:$A,0)-1,MATCH("poids",'Inventaire M-1'!#REF!,0)))</f>
        <v>#REF!</v>
      </c>
      <c r="AB140" s="155" t="e">
        <f>IF(R140="-","",IF(ISERROR(INDEX('Inventaire M'!$A$2:$AD$9319,MATCH(R140,'Inventaire M'!$A:$A,0)-1,MATCH("poids",'Inventaire M'!#REF!,0))),"Sell",INDEX('Inventaire M'!$A$2:$AD$9319,MATCH(R140,'Inventaire M'!$A:$A,0)-1,MATCH("poids",'Inventaire M'!#REF!,0))))</f>
        <v>#REF!</v>
      </c>
      <c r="AC140" s="175"/>
      <c r="AD140" s="157" t="str">
        <f t="shared" si="9"/>
        <v>0</v>
      </c>
      <c r="AE140" s="98" t="str">
        <f t="shared" si="10"/>
        <v/>
      </c>
      <c r="AF140" s="80" t="e">
        <f t="shared" si="11"/>
        <v>#REF!</v>
      </c>
    </row>
    <row r="141" spans="2:32" outlineLevel="1">
      <c r="B141" s="175" t="e">
        <f>IF(OR('Inventaire M'!#REF!="Dispo/Liquidité Investie",'Inventaire M'!#REF!="Option/Future",'Inventaire M'!#REF!="TCN",'Inventaire M'!#REF!=""),"-",'Inventaire M'!#REF!)</f>
        <v>#REF!</v>
      </c>
      <c r="C141" s="175" t="e">
        <f>IF(OR('Inventaire M'!#REF!="Dispo/Liquidité Investie",'Inventaire M'!#REF!="Option/Future",'Inventaire M'!#REF!="TCN",'Inventaire M'!#REF!=""),"-",'Inventaire M'!#REF!)</f>
        <v>#REF!</v>
      </c>
      <c r="D141" s="175"/>
      <c r="E141" s="175" t="e">
        <f>IF(B141="-","",INDEX('Inventaire M'!$A$2:$AW$9305,MATCH(B141,'Inventaire M'!$A:$A,0)-1,MATCH("Cours EUR",'Inventaire M'!#REF!,0)))</f>
        <v>#REF!</v>
      </c>
      <c r="F141" s="175" t="e">
        <f>IF(B141="-","",IF(ISERROR(INDEX('Inventaire M-1'!$A$2:$AZ$9320,MATCH(B141,'Inventaire M-1'!$A:$A,0)-1,MATCH("Cours EUR",'Inventaire M-1'!#REF!,0))),"Buy",INDEX('Inventaire M-1'!$A$2:$AZ$9320,MATCH(B141,'Inventaire M-1'!$A:$A,0)-1,MATCH("Cours EUR",'Inventaire M-1'!#REF!,0))))</f>
        <v>#REF!</v>
      </c>
      <c r="G141" s="175"/>
      <c r="H141" s="156" t="e">
        <f>IF(B141="-","",INDEX('Inventaire M'!$A$2:$AW$9305,MATCH(B141,'Inventaire M'!$A:$A,0)-1,MATCH("quantite",'Inventaire M'!#REF!,0)))</f>
        <v>#REF!</v>
      </c>
      <c r="I141" s="156" t="e">
        <f>IF(C141="-","",IF(ISERROR(INDEX('Inventaire M-1'!$A$2:$AZ$9320,MATCH(B141,'Inventaire M-1'!$A:$A,0)-1,MATCH("quantite",'Inventaire M-1'!#REF!,0))),"Buy",INDEX('Inventaire M-1'!$A$2:$AZ$9320,MATCH(B141,'Inventaire M-1'!$A:$A,0)-1,MATCH("quantite",'Inventaire M-1'!#REF!,0))))</f>
        <v>#REF!</v>
      </c>
      <c r="J141" s="175"/>
      <c r="K141" s="155" t="e">
        <f>IF(B141="-","",INDEX('Inventaire M'!$A$2:$AW$9305,MATCH(B141,'Inventaire M'!$A:$A,0)-1,MATCH("poids",'Inventaire M'!#REF!,0)))</f>
        <v>#REF!</v>
      </c>
      <c r="L141" s="155" t="e">
        <f>IF(B141="-","",IF(ISERROR(INDEX('Inventaire M-1'!$A$2:$AZ$9320,MATCH(B141,'Inventaire M-1'!$A:$A,0)-1,MATCH("poids",'Inventaire M-1'!#REF!,0))),"Buy",INDEX('Inventaire M-1'!$A$2:$AZ$9320,MATCH(B141,'Inventaire M-1'!$A:$A,0)-1,MATCH("poids",'Inventaire M-1'!#REF!,0))))</f>
        <v>#REF!</v>
      </c>
      <c r="M141" s="175"/>
      <c r="N141" s="157" t="str">
        <f t="shared" si="6"/>
        <v>0</v>
      </c>
      <c r="O141" s="98" t="str">
        <f t="shared" si="7"/>
        <v/>
      </c>
      <c r="P141" s="80" t="e">
        <f t="shared" si="8"/>
        <v>#REF!</v>
      </c>
      <c r="Q141" s="75">
        <v>1.1700000000000001E-8</v>
      </c>
      <c r="R141" s="175" t="e">
        <f>IF(OR('Inventaire M-1'!#REF!="Dispo/Liquidité Investie",'Inventaire M-1'!#REF!="Option/Future",'Inventaire M-1'!#REF!="TCN",'Inventaire M-1'!#REF!=""),"-",'Inventaire M-1'!#REF!)</f>
        <v>#REF!</v>
      </c>
      <c r="S141" s="175" t="e">
        <f>IF(OR('Inventaire M-1'!#REF!="Dispo/Liquidité Investie",'Inventaire M-1'!#REF!="Option/Future",'Inventaire M-1'!#REF!="TCN",'Inventaire M-1'!#REF!=""),"-",'Inventaire M-1'!#REF!)</f>
        <v>#REF!</v>
      </c>
      <c r="T141" s="175"/>
      <c r="U141" s="175" t="e">
        <f>IF(R141="-","",INDEX('Inventaire M-1'!$A$2:$AG$9334,MATCH(R141,'Inventaire M-1'!$A:$A,0)-1,MATCH("Cours EUR",'Inventaire M-1'!#REF!,0)))</f>
        <v>#REF!</v>
      </c>
      <c r="V141" s="175" t="e">
        <f>IF(R141="-","",IF(ISERROR(INDEX('Inventaire M'!$A$2:$AD$9319,MATCH(R141,'Inventaire M'!$A:$A,0)-1,MATCH("Cours EUR",'Inventaire M'!#REF!,0))),"Sell",INDEX('Inventaire M'!$A$2:$AD$9319,MATCH(R141,'Inventaire M'!$A:$A,0)-1,MATCH("Cours EUR",'Inventaire M'!#REF!,0))))</f>
        <v>#REF!</v>
      </c>
      <c r="W141" s="175"/>
      <c r="X141" s="156" t="e">
        <f>IF(R141="-","",INDEX('Inventaire M-1'!$A$2:$AG$9334,MATCH(R141,'Inventaire M-1'!$A:$A,0)-1,MATCH("quantite",'Inventaire M-1'!#REF!,0)))</f>
        <v>#REF!</v>
      </c>
      <c r="Y141" s="156" t="e">
        <f>IF(S141="-","",IF(ISERROR(INDEX('Inventaire M'!$A$2:$AD$9319,MATCH(R141,'Inventaire M'!$A:$A,0)-1,MATCH("quantite",'Inventaire M'!#REF!,0))),"Sell",INDEX('Inventaire M'!$A$2:$AD$9319,MATCH(R141,'Inventaire M'!$A:$A,0)-1,MATCH("quantite",'Inventaire M'!#REF!,0))))</f>
        <v>#REF!</v>
      </c>
      <c r="Z141" s="175"/>
      <c r="AA141" s="155" t="e">
        <f>IF(R141="-","",INDEX('Inventaire M-1'!$A$2:$AG$9334,MATCH(R141,'Inventaire M-1'!$A:$A,0)-1,MATCH("poids",'Inventaire M-1'!#REF!,0)))</f>
        <v>#REF!</v>
      </c>
      <c r="AB141" s="155" t="e">
        <f>IF(R141="-","",IF(ISERROR(INDEX('Inventaire M'!$A$2:$AD$9319,MATCH(R141,'Inventaire M'!$A:$A,0)-1,MATCH("poids",'Inventaire M'!#REF!,0))),"Sell",INDEX('Inventaire M'!$A$2:$AD$9319,MATCH(R141,'Inventaire M'!$A:$A,0)-1,MATCH("poids",'Inventaire M'!#REF!,0))))</f>
        <v>#REF!</v>
      </c>
      <c r="AC141" s="175"/>
      <c r="AD141" s="157" t="str">
        <f t="shared" si="9"/>
        <v>0</v>
      </c>
      <c r="AE141" s="98" t="str">
        <f t="shared" si="10"/>
        <v/>
      </c>
      <c r="AF141" s="80" t="e">
        <f t="shared" si="11"/>
        <v>#REF!</v>
      </c>
    </row>
    <row r="142" spans="2:32" outlineLevel="1">
      <c r="B142" s="175" t="e">
        <f>IF(OR('Inventaire M'!#REF!="Dispo/Liquidité Investie",'Inventaire M'!#REF!="Option/Future",'Inventaire M'!#REF!="TCN",'Inventaire M'!#REF!=""),"-",'Inventaire M'!#REF!)</f>
        <v>#REF!</v>
      </c>
      <c r="C142" s="175" t="e">
        <f>IF(OR('Inventaire M'!#REF!="Dispo/Liquidité Investie",'Inventaire M'!#REF!="Option/Future",'Inventaire M'!#REF!="TCN",'Inventaire M'!#REF!=""),"-",'Inventaire M'!#REF!)</f>
        <v>#REF!</v>
      </c>
      <c r="D142" s="175"/>
      <c r="E142" s="175" t="e">
        <f>IF(B142="-","",INDEX('Inventaire M'!$A$2:$AW$9305,MATCH(B142,'Inventaire M'!$A:$A,0)-1,MATCH("Cours EUR",'Inventaire M'!#REF!,0)))</f>
        <v>#REF!</v>
      </c>
      <c r="F142" s="175" t="e">
        <f>IF(B142="-","",IF(ISERROR(INDEX('Inventaire M-1'!$A$2:$AZ$9320,MATCH(B142,'Inventaire M-1'!$A:$A,0)-1,MATCH("Cours EUR",'Inventaire M-1'!#REF!,0))),"Buy",INDEX('Inventaire M-1'!$A$2:$AZ$9320,MATCH(B142,'Inventaire M-1'!$A:$A,0)-1,MATCH("Cours EUR",'Inventaire M-1'!#REF!,0))))</f>
        <v>#REF!</v>
      </c>
      <c r="G142" s="175"/>
      <c r="H142" s="156" t="e">
        <f>IF(B142="-","",INDEX('Inventaire M'!$A$2:$AW$9305,MATCH(B142,'Inventaire M'!$A:$A,0)-1,MATCH("quantite",'Inventaire M'!#REF!,0)))</f>
        <v>#REF!</v>
      </c>
      <c r="I142" s="156" t="e">
        <f>IF(C142="-","",IF(ISERROR(INDEX('Inventaire M-1'!$A$2:$AZ$9320,MATCH(B142,'Inventaire M-1'!$A:$A,0)-1,MATCH("quantite",'Inventaire M-1'!#REF!,0))),"Buy",INDEX('Inventaire M-1'!$A$2:$AZ$9320,MATCH(B142,'Inventaire M-1'!$A:$A,0)-1,MATCH("quantite",'Inventaire M-1'!#REF!,0))))</f>
        <v>#REF!</v>
      </c>
      <c r="J142" s="175"/>
      <c r="K142" s="155" t="e">
        <f>IF(B142="-","",INDEX('Inventaire M'!$A$2:$AW$9305,MATCH(B142,'Inventaire M'!$A:$A,0)-1,MATCH("poids",'Inventaire M'!#REF!,0)))</f>
        <v>#REF!</v>
      </c>
      <c r="L142" s="155" t="e">
        <f>IF(B142="-","",IF(ISERROR(INDEX('Inventaire M-1'!$A$2:$AZ$9320,MATCH(B142,'Inventaire M-1'!$A:$A,0)-1,MATCH("poids",'Inventaire M-1'!#REF!,0))),"Buy",INDEX('Inventaire M-1'!$A$2:$AZ$9320,MATCH(B142,'Inventaire M-1'!$A:$A,0)-1,MATCH("poids",'Inventaire M-1'!#REF!,0))))</f>
        <v>#REF!</v>
      </c>
      <c r="M142" s="175"/>
      <c r="N142" s="157" t="str">
        <f t="shared" si="6"/>
        <v>0</v>
      </c>
      <c r="O142" s="98" t="str">
        <f t="shared" si="7"/>
        <v/>
      </c>
      <c r="P142" s="80" t="e">
        <f t="shared" si="8"/>
        <v>#REF!</v>
      </c>
      <c r="Q142" s="75">
        <v>1.18E-8</v>
      </c>
      <c r="R142" s="175" t="e">
        <f>IF(OR('Inventaire M-1'!#REF!="Dispo/Liquidité Investie",'Inventaire M-1'!#REF!="Option/Future",'Inventaire M-1'!#REF!="TCN",'Inventaire M-1'!#REF!=""),"-",'Inventaire M-1'!#REF!)</f>
        <v>#REF!</v>
      </c>
      <c r="S142" s="175" t="e">
        <f>IF(OR('Inventaire M-1'!#REF!="Dispo/Liquidité Investie",'Inventaire M-1'!#REF!="Option/Future",'Inventaire M-1'!#REF!="TCN",'Inventaire M-1'!#REF!=""),"-",'Inventaire M-1'!#REF!)</f>
        <v>#REF!</v>
      </c>
      <c r="T142" s="175"/>
      <c r="U142" s="175" t="e">
        <f>IF(R142="-","",INDEX('Inventaire M-1'!$A$2:$AG$9334,MATCH(R142,'Inventaire M-1'!$A:$A,0)-1,MATCH("Cours EUR",'Inventaire M-1'!#REF!,0)))</f>
        <v>#REF!</v>
      </c>
      <c r="V142" s="175" t="e">
        <f>IF(R142="-","",IF(ISERROR(INDEX('Inventaire M'!$A$2:$AD$9319,MATCH(R142,'Inventaire M'!$A:$A,0)-1,MATCH("Cours EUR",'Inventaire M'!#REF!,0))),"Sell",INDEX('Inventaire M'!$A$2:$AD$9319,MATCH(R142,'Inventaire M'!$A:$A,0)-1,MATCH("Cours EUR",'Inventaire M'!#REF!,0))))</f>
        <v>#REF!</v>
      </c>
      <c r="W142" s="175"/>
      <c r="X142" s="156" t="e">
        <f>IF(R142="-","",INDEX('Inventaire M-1'!$A$2:$AG$9334,MATCH(R142,'Inventaire M-1'!$A:$A,0)-1,MATCH("quantite",'Inventaire M-1'!#REF!,0)))</f>
        <v>#REF!</v>
      </c>
      <c r="Y142" s="156" t="e">
        <f>IF(S142="-","",IF(ISERROR(INDEX('Inventaire M'!$A$2:$AD$9319,MATCH(R142,'Inventaire M'!$A:$A,0)-1,MATCH("quantite",'Inventaire M'!#REF!,0))),"Sell",INDEX('Inventaire M'!$A$2:$AD$9319,MATCH(R142,'Inventaire M'!$A:$A,0)-1,MATCH("quantite",'Inventaire M'!#REF!,0))))</f>
        <v>#REF!</v>
      </c>
      <c r="Z142" s="175"/>
      <c r="AA142" s="155" t="e">
        <f>IF(R142="-","",INDEX('Inventaire M-1'!$A$2:$AG$9334,MATCH(R142,'Inventaire M-1'!$A:$A,0)-1,MATCH("poids",'Inventaire M-1'!#REF!,0)))</f>
        <v>#REF!</v>
      </c>
      <c r="AB142" s="155" t="e">
        <f>IF(R142="-","",IF(ISERROR(INDEX('Inventaire M'!$A$2:$AD$9319,MATCH(R142,'Inventaire M'!$A:$A,0)-1,MATCH("poids",'Inventaire M'!#REF!,0))),"Sell",INDEX('Inventaire M'!$A$2:$AD$9319,MATCH(R142,'Inventaire M'!$A:$A,0)-1,MATCH("poids",'Inventaire M'!#REF!,0))))</f>
        <v>#REF!</v>
      </c>
      <c r="AC142" s="175"/>
      <c r="AD142" s="157" t="str">
        <f t="shared" si="9"/>
        <v>0</v>
      </c>
      <c r="AE142" s="98" t="str">
        <f t="shared" si="10"/>
        <v/>
      </c>
      <c r="AF142" s="80" t="e">
        <f t="shared" si="11"/>
        <v>#REF!</v>
      </c>
    </row>
    <row r="143" spans="2:32" outlineLevel="1">
      <c r="B143" s="175" t="e">
        <f>IF(OR('Inventaire M'!#REF!="Dispo/Liquidité Investie",'Inventaire M'!#REF!="Option/Future",'Inventaire M'!#REF!="TCN",'Inventaire M'!#REF!=""),"-",'Inventaire M'!#REF!)</f>
        <v>#REF!</v>
      </c>
      <c r="C143" s="175" t="e">
        <f>IF(OR('Inventaire M'!#REF!="Dispo/Liquidité Investie",'Inventaire M'!#REF!="Option/Future",'Inventaire M'!#REF!="TCN",'Inventaire M'!#REF!=""),"-",'Inventaire M'!#REF!)</f>
        <v>#REF!</v>
      </c>
      <c r="D143" s="175"/>
      <c r="E143" s="175" t="e">
        <f>IF(B143="-","",INDEX('Inventaire M'!$A$2:$AW$9305,MATCH(B143,'Inventaire M'!$A:$A,0)-1,MATCH("Cours EUR",'Inventaire M'!#REF!,0)))</f>
        <v>#REF!</v>
      </c>
      <c r="F143" s="175" t="e">
        <f>IF(B143="-","",IF(ISERROR(INDEX('Inventaire M-1'!$A$2:$AZ$9320,MATCH(B143,'Inventaire M-1'!$A:$A,0)-1,MATCH("Cours EUR",'Inventaire M-1'!#REF!,0))),"Buy",INDEX('Inventaire M-1'!$A$2:$AZ$9320,MATCH(B143,'Inventaire M-1'!$A:$A,0)-1,MATCH("Cours EUR",'Inventaire M-1'!#REF!,0))))</f>
        <v>#REF!</v>
      </c>
      <c r="G143" s="175"/>
      <c r="H143" s="156" t="e">
        <f>IF(B143="-","",INDEX('Inventaire M'!$A$2:$AW$9305,MATCH(B143,'Inventaire M'!$A:$A,0)-1,MATCH("quantite",'Inventaire M'!#REF!,0)))</f>
        <v>#REF!</v>
      </c>
      <c r="I143" s="156" t="e">
        <f>IF(C143="-","",IF(ISERROR(INDEX('Inventaire M-1'!$A$2:$AZ$9320,MATCH(B143,'Inventaire M-1'!$A:$A,0)-1,MATCH("quantite",'Inventaire M-1'!#REF!,0))),"Buy",INDEX('Inventaire M-1'!$A$2:$AZ$9320,MATCH(B143,'Inventaire M-1'!$A:$A,0)-1,MATCH("quantite",'Inventaire M-1'!#REF!,0))))</f>
        <v>#REF!</v>
      </c>
      <c r="J143" s="175"/>
      <c r="K143" s="155" t="e">
        <f>IF(B143="-","",INDEX('Inventaire M'!$A$2:$AW$9305,MATCH(B143,'Inventaire M'!$A:$A,0)-1,MATCH("poids",'Inventaire M'!#REF!,0)))</f>
        <v>#REF!</v>
      </c>
      <c r="L143" s="155" t="e">
        <f>IF(B143="-","",IF(ISERROR(INDEX('Inventaire M-1'!$A$2:$AZ$9320,MATCH(B143,'Inventaire M-1'!$A:$A,0)-1,MATCH("poids",'Inventaire M-1'!#REF!,0))),"Buy",INDEX('Inventaire M-1'!$A$2:$AZ$9320,MATCH(B143,'Inventaire M-1'!$A:$A,0)-1,MATCH("poids",'Inventaire M-1'!#REF!,0))))</f>
        <v>#REF!</v>
      </c>
      <c r="M143" s="175"/>
      <c r="N143" s="157" t="str">
        <f t="shared" si="6"/>
        <v>0</v>
      </c>
      <c r="O143" s="98" t="str">
        <f t="shared" si="7"/>
        <v/>
      </c>
      <c r="P143" s="80" t="e">
        <f t="shared" si="8"/>
        <v>#REF!</v>
      </c>
      <c r="Q143" s="75">
        <v>1.1900000000000001E-8</v>
      </c>
      <c r="R143" s="175" t="e">
        <f>IF(OR('Inventaire M-1'!#REF!="Dispo/Liquidité Investie",'Inventaire M-1'!#REF!="Option/Future",'Inventaire M-1'!#REF!="TCN",'Inventaire M-1'!#REF!=""),"-",'Inventaire M-1'!#REF!)</f>
        <v>#REF!</v>
      </c>
      <c r="S143" s="175" t="e">
        <f>IF(OR('Inventaire M-1'!#REF!="Dispo/Liquidité Investie",'Inventaire M-1'!#REF!="Option/Future",'Inventaire M-1'!#REF!="TCN",'Inventaire M-1'!#REF!=""),"-",'Inventaire M-1'!#REF!)</f>
        <v>#REF!</v>
      </c>
      <c r="T143" s="175"/>
      <c r="U143" s="175" t="e">
        <f>IF(R143="-","",INDEX('Inventaire M-1'!$A$2:$AG$9334,MATCH(R143,'Inventaire M-1'!$A:$A,0)-1,MATCH("Cours EUR",'Inventaire M-1'!#REF!,0)))</f>
        <v>#REF!</v>
      </c>
      <c r="V143" s="175" t="e">
        <f>IF(R143="-","",IF(ISERROR(INDEX('Inventaire M'!$A$2:$AD$9319,MATCH(R143,'Inventaire M'!$A:$A,0)-1,MATCH("Cours EUR",'Inventaire M'!#REF!,0))),"Sell",INDEX('Inventaire M'!$A$2:$AD$9319,MATCH(R143,'Inventaire M'!$A:$A,0)-1,MATCH("Cours EUR",'Inventaire M'!#REF!,0))))</f>
        <v>#REF!</v>
      </c>
      <c r="W143" s="175"/>
      <c r="X143" s="156" t="e">
        <f>IF(R143="-","",INDEX('Inventaire M-1'!$A$2:$AG$9334,MATCH(R143,'Inventaire M-1'!$A:$A,0)-1,MATCH("quantite",'Inventaire M-1'!#REF!,0)))</f>
        <v>#REF!</v>
      </c>
      <c r="Y143" s="156" t="e">
        <f>IF(S143="-","",IF(ISERROR(INDEX('Inventaire M'!$A$2:$AD$9319,MATCH(R143,'Inventaire M'!$A:$A,0)-1,MATCH("quantite",'Inventaire M'!#REF!,0))),"Sell",INDEX('Inventaire M'!$A$2:$AD$9319,MATCH(R143,'Inventaire M'!$A:$A,0)-1,MATCH("quantite",'Inventaire M'!#REF!,0))))</f>
        <v>#REF!</v>
      </c>
      <c r="Z143" s="175"/>
      <c r="AA143" s="155" t="e">
        <f>IF(R143="-","",INDEX('Inventaire M-1'!$A$2:$AG$9334,MATCH(R143,'Inventaire M-1'!$A:$A,0)-1,MATCH("poids",'Inventaire M-1'!#REF!,0)))</f>
        <v>#REF!</v>
      </c>
      <c r="AB143" s="155" t="e">
        <f>IF(R143="-","",IF(ISERROR(INDEX('Inventaire M'!$A$2:$AD$9319,MATCH(R143,'Inventaire M'!$A:$A,0)-1,MATCH("poids",'Inventaire M'!#REF!,0))),"Sell",INDEX('Inventaire M'!$A$2:$AD$9319,MATCH(R143,'Inventaire M'!$A:$A,0)-1,MATCH("poids",'Inventaire M'!#REF!,0))))</f>
        <v>#REF!</v>
      </c>
      <c r="AC143" s="175"/>
      <c r="AD143" s="157" t="str">
        <f t="shared" si="9"/>
        <v>0</v>
      </c>
      <c r="AE143" s="98" t="str">
        <f t="shared" si="10"/>
        <v/>
      </c>
      <c r="AF143" s="80" t="e">
        <f t="shared" si="11"/>
        <v>#REF!</v>
      </c>
    </row>
    <row r="144" spans="2:32" outlineLevel="1">
      <c r="B144" s="175" t="e">
        <f>IF(OR('Inventaire M'!#REF!="Dispo/Liquidité Investie",'Inventaire M'!#REF!="Option/Future",'Inventaire M'!#REF!="TCN",'Inventaire M'!#REF!=""),"-",'Inventaire M'!#REF!)</f>
        <v>#REF!</v>
      </c>
      <c r="C144" s="175" t="e">
        <f>IF(OR('Inventaire M'!#REF!="Dispo/Liquidité Investie",'Inventaire M'!#REF!="Option/Future",'Inventaire M'!#REF!="TCN",'Inventaire M'!#REF!=""),"-",'Inventaire M'!#REF!)</f>
        <v>#REF!</v>
      </c>
      <c r="D144" s="175"/>
      <c r="E144" s="175" t="e">
        <f>IF(B144="-","",INDEX('Inventaire M'!$A$2:$AW$9305,MATCH(B144,'Inventaire M'!$A:$A,0)-1,MATCH("Cours EUR",'Inventaire M'!#REF!,0)))</f>
        <v>#REF!</v>
      </c>
      <c r="F144" s="175" t="e">
        <f>IF(B144="-","",IF(ISERROR(INDEX('Inventaire M-1'!$A$2:$AZ$9320,MATCH(B144,'Inventaire M-1'!$A:$A,0)-1,MATCH("Cours EUR",'Inventaire M-1'!#REF!,0))),"Buy",INDEX('Inventaire M-1'!$A$2:$AZ$9320,MATCH(B144,'Inventaire M-1'!$A:$A,0)-1,MATCH("Cours EUR",'Inventaire M-1'!#REF!,0))))</f>
        <v>#REF!</v>
      </c>
      <c r="G144" s="175"/>
      <c r="H144" s="156" t="e">
        <f>IF(B144="-","",INDEX('Inventaire M'!$A$2:$AW$9305,MATCH(B144,'Inventaire M'!$A:$A,0)-1,MATCH("quantite",'Inventaire M'!#REF!,0)))</f>
        <v>#REF!</v>
      </c>
      <c r="I144" s="156" t="e">
        <f>IF(C144="-","",IF(ISERROR(INDEX('Inventaire M-1'!$A$2:$AZ$9320,MATCH(B144,'Inventaire M-1'!$A:$A,0)-1,MATCH("quantite",'Inventaire M-1'!#REF!,0))),"Buy",INDEX('Inventaire M-1'!$A$2:$AZ$9320,MATCH(B144,'Inventaire M-1'!$A:$A,0)-1,MATCH("quantite",'Inventaire M-1'!#REF!,0))))</f>
        <v>#REF!</v>
      </c>
      <c r="J144" s="175"/>
      <c r="K144" s="155" t="e">
        <f>IF(B144="-","",INDEX('Inventaire M'!$A$2:$AW$9305,MATCH(B144,'Inventaire M'!$A:$A,0)-1,MATCH("poids",'Inventaire M'!#REF!,0)))</f>
        <v>#REF!</v>
      </c>
      <c r="L144" s="155" t="e">
        <f>IF(B144="-","",IF(ISERROR(INDEX('Inventaire M-1'!$A$2:$AZ$9320,MATCH(B144,'Inventaire M-1'!$A:$A,0)-1,MATCH("poids",'Inventaire M-1'!#REF!,0))),"Buy",INDEX('Inventaire M-1'!$A$2:$AZ$9320,MATCH(B144,'Inventaire M-1'!$A:$A,0)-1,MATCH("poids",'Inventaire M-1'!#REF!,0))))</f>
        <v>#REF!</v>
      </c>
      <c r="M144" s="175"/>
      <c r="N144" s="157" t="str">
        <f t="shared" si="6"/>
        <v>0</v>
      </c>
      <c r="O144" s="98" t="str">
        <f t="shared" si="7"/>
        <v/>
      </c>
      <c r="P144" s="80" t="e">
        <f t="shared" si="8"/>
        <v>#REF!</v>
      </c>
      <c r="Q144" s="75">
        <v>1.2E-8</v>
      </c>
      <c r="R144" s="175" t="e">
        <f>IF(OR('Inventaire M-1'!#REF!="Dispo/Liquidité Investie",'Inventaire M-1'!#REF!="Option/Future",'Inventaire M-1'!#REF!="TCN",'Inventaire M-1'!#REF!=""),"-",'Inventaire M-1'!#REF!)</f>
        <v>#REF!</v>
      </c>
      <c r="S144" s="175" t="e">
        <f>IF(OR('Inventaire M-1'!#REF!="Dispo/Liquidité Investie",'Inventaire M-1'!#REF!="Option/Future",'Inventaire M-1'!#REF!="TCN",'Inventaire M-1'!#REF!=""),"-",'Inventaire M-1'!#REF!)</f>
        <v>#REF!</v>
      </c>
      <c r="T144" s="175"/>
      <c r="U144" s="175" t="e">
        <f>IF(R144="-","",INDEX('Inventaire M-1'!$A$2:$AG$9334,MATCH(R144,'Inventaire M-1'!$A:$A,0)-1,MATCH("Cours EUR",'Inventaire M-1'!#REF!,0)))</f>
        <v>#REF!</v>
      </c>
      <c r="V144" s="175" t="e">
        <f>IF(R144="-","",IF(ISERROR(INDEX('Inventaire M'!$A$2:$AD$9319,MATCH(R144,'Inventaire M'!$A:$A,0)-1,MATCH("Cours EUR",'Inventaire M'!#REF!,0))),"Sell",INDEX('Inventaire M'!$A$2:$AD$9319,MATCH(R144,'Inventaire M'!$A:$A,0)-1,MATCH("Cours EUR",'Inventaire M'!#REF!,0))))</f>
        <v>#REF!</v>
      </c>
      <c r="W144" s="175"/>
      <c r="X144" s="156" t="e">
        <f>IF(R144="-","",INDEX('Inventaire M-1'!$A$2:$AG$9334,MATCH(R144,'Inventaire M-1'!$A:$A,0)-1,MATCH("quantite",'Inventaire M-1'!#REF!,0)))</f>
        <v>#REF!</v>
      </c>
      <c r="Y144" s="156" t="e">
        <f>IF(S144="-","",IF(ISERROR(INDEX('Inventaire M'!$A$2:$AD$9319,MATCH(R144,'Inventaire M'!$A:$A,0)-1,MATCH("quantite",'Inventaire M'!#REF!,0))),"Sell",INDEX('Inventaire M'!$A$2:$AD$9319,MATCH(R144,'Inventaire M'!$A:$A,0)-1,MATCH("quantite",'Inventaire M'!#REF!,0))))</f>
        <v>#REF!</v>
      </c>
      <c r="Z144" s="175"/>
      <c r="AA144" s="155" t="e">
        <f>IF(R144="-","",INDEX('Inventaire M-1'!$A$2:$AG$9334,MATCH(R144,'Inventaire M-1'!$A:$A,0)-1,MATCH("poids",'Inventaire M-1'!#REF!,0)))</f>
        <v>#REF!</v>
      </c>
      <c r="AB144" s="155" t="e">
        <f>IF(R144="-","",IF(ISERROR(INDEX('Inventaire M'!$A$2:$AD$9319,MATCH(R144,'Inventaire M'!$A:$A,0)-1,MATCH("poids",'Inventaire M'!#REF!,0))),"Sell",INDEX('Inventaire M'!$A$2:$AD$9319,MATCH(R144,'Inventaire M'!$A:$A,0)-1,MATCH("poids",'Inventaire M'!#REF!,0))))</f>
        <v>#REF!</v>
      </c>
      <c r="AC144" s="175"/>
      <c r="AD144" s="157" t="str">
        <f t="shared" si="9"/>
        <v>0</v>
      </c>
      <c r="AE144" s="98" t="str">
        <f t="shared" si="10"/>
        <v/>
      </c>
      <c r="AF144" s="80" t="e">
        <f t="shared" si="11"/>
        <v>#REF!</v>
      </c>
    </row>
    <row r="145" spans="2:32" outlineLevel="1">
      <c r="B145" s="175" t="e">
        <f>IF(OR('Inventaire M'!#REF!="Dispo/Liquidité Investie",'Inventaire M'!#REF!="Option/Future",'Inventaire M'!#REF!="TCN",'Inventaire M'!#REF!=""),"-",'Inventaire M'!#REF!)</f>
        <v>#REF!</v>
      </c>
      <c r="C145" s="175" t="e">
        <f>IF(OR('Inventaire M'!#REF!="Dispo/Liquidité Investie",'Inventaire M'!#REF!="Option/Future",'Inventaire M'!#REF!="TCN",'Inventaire M'!#REF!=""),"-",'Inventaire M'!#REF!)</f>
        <v>#REF!</v>
      </c>
      <c r="D145" s="175"/>
      <c r="E145" s="175" t="e">
        <f>IF(B145="-","",INDEX('Inventaire M'!$A$2:$AW$9305,MATCH(B145,'Inventaire M'!$A:$A,0)-1,MATCH("Cours EUR",'Inventaire M'!#REF!,0)))</f>
        <v>#REF!</v>
      </c>
      <c r="F145" s="175" t="e">
        <f>IF(B145="-","",IF(ISERROR(INDEX('Inventaire M-1'!$A$2:$AZ$9320,MATCH(B145,'Inventaire M-1'!$A:$A,0)-1,MATCH("Cours EUR",'Inventaire M-1'!#REF!,0))),"Buy",INDEX('Inventaire M-1'!$A$2:$AZ$9320,MATCH(B145,'Inventaire M-1'!$A:$A,0)-1,MATCH("Cours EUR",'Inventaire M-1'!#REF!,0))))</f>
        <v>#REF!</v>
      </c>
      <c r="G145" s="175"/>
      <c r="H145" s="156" t="e">
        <f>IF(B145="-","",INDEX('Inventaire M'!$A$2:$AW$9305,MATCH(B145,'Inventaire M'!$A:$A,0)-1,MATCH("quantite",'Inventaire M'!#REF!,0)))</f>
        <v>#REF!</v>
      </c>
      <c r="I145" s="156" t="e">
        <f>IF(C145="-","",IF(ISERROR(INDEX('Inventaire M-1'!$A$2:$AZ$9320,MATCH(B145,'Inventaire M-1'!$A:$A,0)-1,MATCH("quantite",'Inventaire M-1'!#REF!,0))),"Buy",INDEX('Inventaire M-1'!$A$2:$AZ$9320,MATCH(B145,'Inventaire M-1'!$A:$A,0)-1,MATCH("quantite",'Inventaire M-1'!#REF!,0))))</f>
        <v>#REF!</v>
      </c>
      <c r="J145" s="175"/>
      <c r="K145" s="155" t="e">
        <f>IF(B145="-","",INDEX('Inventaire M'!$A$2:$AW$9305,MATCH(B145,'Inventaire M'!$A:$A,0)-1,MATCH("poids",'Inventaire M'!#REF!,0)))</f>
        <v>#REF!</v>
      </c>
      <c r="L145" s="155" t="e">
        <f>IF(B145="-","",IF(ISERROR(INDEX('Inventaire M-1'!$A$2:$AZ$9320,MATCH(B145,'Inventaire M-1'!$A:$A,0)-1,MATCH("poids",'Inventaire M-1'!#REF!,0))),"Buy",INDEX('Inventaire M-1'!$A$2:$AZ$9320,MATCH(B145,'Inventaire M-1'!$A:$A,0)-1,MATCH("poids",'Inventaire M-1'!#REF!,0))))</f>
        <v>#REF!</v>
      </c>
      <c r="M145" s="175"/>
      <c r="N145" s="157" t="str">
        <f t="shared" si="6"/>
        <v>0</v>
      </c>
      <c r="O145" s="98" t="str">
        <f t="shared" si="7"/>
        <v/>
      </c>
      <c r="P145" s="80" t="e">
        <f t="shared" si="8"/>
        <v>#REF!</v>
      </c>
      <c r="Q145" s="75">
        <v>1.2100000000000001E-8</v>
      </c>
      <c r="R145" s="175" t="e">
        <f>IF(OR('Inventaire M-1'!#REF!="Dispo/Liquidité Investie",'Inventaire M-1'!#REF!="Option/Future",'Inventaire M-1'!#REF!="TCN",'Inventaire M-1'!#REF!=""),"-",'Inventaire M-1'!#REF!)</f>
        <v>#REF!</v>
      </c>
      <c r="S145" s="175" t="e">
        <f>IF(OR('Inventaire M-1'!#REF!="Dispo/Liquidité Investie",'Inventaire M-1'!#REF!="Option/Future",'Inventaire M-1'!#REF!="TCN",'Inventaire M-1'!#REF!=""),"-",'Inventaire M-1'!#REF!)</f>
        <v>#REF!</v>
      </c>
      <c r="T145" s="175"/>
      <c r="U145" s="175" t="e">
        <f>IF(R145="-","",INDEX('Inventaire M-1'!$A$2:$AG$9334,MATCH(R145,'Inventaire M-1'!$A:$A,0)-1,MATCH("Cours EUR",'Inventaire M-1'!#REF!,0)))</f>
        <v>#REF!</v>
      </c>
      <c r="V145" s="175" t="e">
        <f>IF(R145="-","",IF(ISERROR(INDEX('Inventaire M'!$A$2:$AD$9319,MATCH(R145,'Inventaire M'!$A:$A,0)-1,MATCH("Cours EUR",'Inventaire M'!#REF!,0))),"Sell",INDEX('Inventaire M'!$A$2:$AD$9319,MATCH(R145,'Inventaire M'!$A:$A,0)-1,MATCH("Cours EUR",'Inventaire M'!#REF!,0))))</f>
        <v>#REF!</v>
      </c>
      <c r="W145" s="175"/>
      <c r="X145" s="156" t="e">
        <f>IF(R145="-","",INDEX('Inventaire M-1'!$A$2:$AG$9334,MATCH(R145,'Inventaire M-1'!$A:$A,0)-1,MATCH("quantite",'Inventaire M-1'!#REF!,0)))</f>
        <v>#REF!</v>
      </c>
      <c r="Y145" s="156" t="e">
        <f>IF(S145="-","",IF(ISERROR(INDEX('Inventaire M'!$A$2:$AD$9319,MATCH(R145,'Inventaire M'!$A:$A,0)-1,MATCH("quantite",'Inventaire M'!#REF!,0))),"Sell",INDEX('Inventaire M'!$A$2:$AD$9319,MATCH(R145,'Inventaire M'!$A:$A,0)-1,MATCH("quantite",'Inventaire M'!#REF!,0))))</f>
        <v>#REF!</v>
      </c>
      <c r="Z145" s="175"/>
      <c r="AA145" s="155" t="e">
        <f>IF(R145="-","",INDEX('Inventaire M-1'!$A$2:$AG$9334,MATCH(R145,'Inventaire M-1'!$A:$A,0)-1,MATCH("poids",'Inventaire M-1'!#REF!,0)))</f>
        <v>#REF!</v>
      </c>
      <c r="AB145" s="155" t="e">
        <f>IF(R145="-","",IF(ISERROR(INDEX('Inventaire M'!$A$2:$AD$9319,MATCH(R145,'Inventaire M'!$A:$A,0)-1,MATCH("poids",'Inventaire M'!#REF!,0))),"Sell",INDEX('Inventaire M'!$A$2:$AD$9319,MATCH(R145,'Inventaire M'!$A:$A,0)-1,MATCH("poids",'Inventaire M'!#REF!,0))))</f>
        <v>#REF!</v>
      </c>
      <c r="AC145" s="175"/>
      <c r="AD145" s="157" t="str">
        <f t="shared" si="9"/>
        <v>0</v>
      </c>
      <c r="AE145" s="98" t="str">
        <f t="shared" si="10"/>
        <v/>
      </c>
      <c r="AF145" s="80" t="e">
        <f t="shared" si="11"/>
        <v>#REF!</v>
      </c>
    </row>
    <row r="146" spans="2:32" outlineLevel="1">
      <c r="B146" s="175" t="e">
        <f>IF(OR('Inventaire M'!#REF!="Dispo/Liquidité Investie",'Inventaire M'!#REF!="Option/Future",'Inventaire M'!#REF!="TCN",'Inventaire M'!#REF!=""),"-",'Inventaire M'!#REF!)</f>
        <v>#REF!</v>
      </c>
      <c r="C146" s="175" t="e">
        <f>IF(OR('Inventaire M'!#REF!="Dispo/Liquidité Investie",'Inventaire M'!#REF!="Option/Future",'Inventaire M'!#REF!="TCN",'Inventaire M'!#REF!=""),"-",'Inventaire M'!#REF!)</f>
        <v>#REF!</v>
      </c>
      <c r="D146" s="175"/>
      <c r="E146" s="175" t="e">
        <f>IF(B146="-","",INDEX('Inventaire M'!$A$2:$AW$9305,MATCH(B146,'Inventaire M'!$A:$A,0)-1,MATCH("Cours EUR",'Inventaire M'!#REF!,0)))</f>
        <v>#REF!</v>
      </c>
      <c r="F146" s="175" t="e">
        <f>IF(B146="-","",IF(ISERROR(INDEX('Inventaire M-1'!$A$2:$AZ$9320,MATCH(B146,'Inventaire M-1'!$A:$A,0)-1,MATCH("Cours EUR",'Inventaire M-1'!#REF!,0))),"Buy",INDEX('Inventaire M-1'!$A$2:$AZ$9320,MATCH(B146,'Inventaire M-1'!$A:$A,0)-1,MATCH("Cours EUR",'Inventaire M-1'!#REF!,0))))</f>
        <v>#REF!</v>
      </c>
      <c r="G146" s="175"/>
      <c r="H146" s="156" t="e">
        <f>IF(B146="-","",INDEX('Inventaire M'!$A$2:$AW$9305,MATCH(B146,'Inventaire M'!$A:$A,0)-1,MATCH("quantite",'Inventaire M'!#REF!,0)))</f>
        <v>#REF!</v>
      </c>
      <c r="I146" s="156" t="e">
        <f>IF(C146="-","",IF(ISERROR(INDEX('Inventaire M-1'!$A$2:$AZ$9320,MATCH(B146,'Inventaire M-1'!$A:$A,0)-1,MATCH("quantite",'Inventaire M-1'!#REF!,0))),"Buy",INDEX('Inventaire M-1'!$A$2:$AZ$9320,MATCH(B146,'Inventaire M-1'!$A:$A,0)-1,MATCH("quantite",'Inventaire M-1'!#REF!,0))))</f>
        <v>#REF!</v>
      </c>
      <c r="J146" s="175"/>
      <c r="K146" s="155" t="e">
        <f>IF(B146="-","",INDEX('Inventaire M'!$A$2:$AW$9305,MATCH(B146,'Inventaire M'!$A:$A,0)-1,MATCH("poids",'Inventaire M'!#REF!,0)))</f>
        <v>#REF!</v>
      </c>
      <c r="L146" s="155" t="e">
        <f>IF(B146="-","",IF(ISERROR(INDEX('Inventaire M-1'!$A$2:$AZ$9320,MATCH(B146,'Inventaire M-1'!$A:$A,0)-1,MATCH("poids",'Inventaire M-1'!#REF!,0))),"Buy",INDEX('Inventaire M-1'!$A$2:$AZ$9320,MATCH(B146,'Inventaire M-1'!$A:$A,0)-1,MATCH("poids",'Inventaire M-1'!#REF!,0))))</f>
        <v>#REF!</v>
      </c>
      <c r="M146" s="175"/>
      <c r="N146" s="157" t="str">
        <f t="shared" si="6"/>
        <v>0</v>
      </c>
      <c r="O146" s="98" t="str">
        <f t="shared" si="7"/>
        <v/>
      </c>
      <c r="P146" s="80" t="e">
        <f t="shared" si="8"/>
        <v>#REF!</v>
      </c>
      <c r="Q146" s="75">
        <v>1.22E-8</v>
      </c>
      <c r="R146" s="175" t="e">
        <f>IF(OR('Inventaire M-1'!#REF!="Dispo/Liquidité Investie",'Inventaire M-1'!#REF!="Option/Future",'Inventaire M-1'!#REF!="TCN",'Inventaire M-1'!#REF!=""),"-",'Inventaire M-1'!#REF!)</f>
        <v>#REF!</v>
      </c>
      <c r="S146" s="175" t="e">
        <f>IF(OR('Inventaire M-1'!#REF!="Dispo/Liquidité Investie",'Inventaire M-1'!#REF!="Option/Future",'Inventaire M-1'!#REF!="TCN",'Inventaire M-1'!#REF!=""),"-",'Inventaire M-1'!#REF!)</f>
        <v>#REF!</v>
      </c>
      <c r="T146" s="175"/>
      <c r="U146" s="175" t="e">
        <f>IF(R146="-","",INDEX('Inventaire M-1'!$A$2:$AG$9334,MATCH(R146,'Inventaire M-1'!$A:$A,0)-1,MATCH("Cours EUR",'Inventaire M-1'!#REF!,0)))</f>
        <v>#REF!</v>
      </c>
      <c r="V146" s="175" t="e">
        <f>IF(R146="-","",IF(ISERROR(INDEX('Inventaire M'!$A$2:$AD$9319,MATCH(R146,'Inventaire M'!$A:$A,0)-1,MATCH("Cours EUR",'Inventaire M'!#REF!,0))),"Sell",INDEX('Inventaire M'!$A$2:$AD$9319,MATCH(R146,'Inventaire M'!$A:$A,0)-1,MATCH("Cours EUR",'Inventaire M'!#REF!,0))))</f>
        <v>#REF!</v>
      </c>
      <c r="W146" s="175"/>
      <c r="X146" s="156" t="e">
        <f>IF(R146="-","",INDEX('Inventaire M-1'!$A$2:$AG$9334,MATCH(R146,'Inventaire M-1'!$A:$A,0)-1,MATCH("quantite",'Inventaire M-1'!#REF!,0)))</f>
        <v>#REF!</v>
      </c>
      <c r="Y146" s="156" t="e">
        <f>IF(S146="-","",IF(ISERROR(INDEX('Inventaire M'!$A$2:$AD$9319,MATCH(R146,'Inventaire M'!$A:$A,0)-1,MATCH("quantite",'Inventaire M'!#REF!,0))),"Sell",INDEX('Inventaire M'!$A$2:$AD$9319,MATCH(R146,'Inventaire M'!$A:$A,0)-1,MATCH("quantite",'Inventaire M'!#REF!,0))))</f>
        <v>#REF!</v>
      </c>
      <c r="Z146" s="175"/>
      <c r="AA146" s="155" t="e">
        <f>IF(R146="-","",INDEX('Inventaire M-1'!$A$2:$AG$9334,MATCH(R146,'Inventaire M-1'!$A:$A,0)-1,MATCH("poids",'Inventaire M-1'!#REF!,0)))</f>
        <v>#REF!</v>
      </c>
      <c r="AB146" s="155" t="e">
        <f>IF(R146="-","",IF(ISERROR(INDEX('Inventaire M'!$A$2:$AD$9319,MATCH(R146,'Inventaire M'!$A:$A,0)-1,MATCH("poids",'Inventaire M'!#REF!,0))),"Sell",INDEX('Inventaire M'!$A$2:$AD$9319,MATCH(R146,'Inventaire M'!$A:$A,0)-1,MATCH("poids",'Inventaire M'!#REF!,0))))</f>
        <v>#REF!</v>
      </c>
      <c r="AC146" s="175"/>
      <c r="AD146" s="157" t="str">
        <f t="shared" si="9"/>
        <v>0</v>
      </c>
      <c r="AE146" s="98" t="str">
        <f t="shared" si="10"/>
        <v/>
      </c>
      <c r="AF146" s="80" t="e">
        <f t="shared" si="11"/>
        <v>#REF!</v>
      </c>
    </row>
    <row r="147" spans="2:32" outlineLevel="1">
      <c r="B147" s="175" t="e">
        <f>IF(OR('Inventaire M'!#REF!="Dispo/Liquidité Investie",'Inventaire M'!#REF!="Option/Future",'Inventaire M'!#REF!="TCN",'Inventaire M'!#REF!=""),"-",'Inventaire M'!#REF!)</f>
        <v>#REF!</v>
      </c>
      <c r="C147" s="175" t="e">
        <f>IF(OR('Inventaire M'!#REF!="Dispo/Liquidité Investie",'Inventaire M'!#REF!="Option/Future",'Inventaire M'!#REF!="TCN",'Inventaire M'!#REF!=""),"-",'Inventaire M'!#REF!)</f>
        <v>#REF!</v>
      </c>
      <c r="D147" s="175"/>
      <c r="E147" s="175" t="e">
        <f>IF(B147="-","",INDEX('Inventaire M'!$A$2:$AW$9305,MATCH(B147,'Inventaire M'!$A:$A,0)-1,MATCH("Cours EUR",'Inventaire M'!#REF!,0)))</f>
        <v>#REF!</v>
      </c>
      <c r="F147" s="175" t="e">
        <f>IF(B147="-","",IF(ISERROR(INDEX('Inventaire M-1'!$A$2:$AZ$9320,MATCH(B147,'Inventaire M-1'!$A:$A,0)-1,MATCH("Cours EUR",'Inventaire M-1'!#REF!,0))),"Buy",INDEX('Inventaire M-1'!$A$2:$AZ$9320,MATCH(B147,'Inventaire M-1'!$A:$A,0)-1,MATCH("Cours EUR",'Inventaire M-1'!#REF!,0))))</f>
        <v>#REF!</v>
      </c>
      <c r="G147" s="175"/>
      <c r="H147" s="156" t="e">
        <f>IF(B147="-","",INDEX('Inventaire M'!$A$2:$AW$9305,MATCH(B147,'Inventaire M'!$A:$A,0)-1,MATCH("quantite",'Inventaire M'!#REF!,0)))</f>
        <v>#REF!</v>
      </c>
      <c r="I147" s="156" t="e">
        <f>IF(C147="-","",IF(ISERROR(INDEX('Inventaire M-1'!$A$2:$AZ$9320,MATCH(B147,'Inventaire M-1'!$A:$A,0)-1,MATCH("quantite",'Inventaire M-1'!#REF!,0))),"Buy",INDEX('Inventaire M-1'!$A$2:$AZ$9320,MATCH(B147,'Inventaire M-1'!$A:$A,0)-1,MATCH("quantite",'Inventaire M-1'!#REF!,0))))</f>
        <v>#REF!</v>
      </c>
      <c r="J147" s="175"/>
      <c r="K147" s="155" t="e">
        <f>IF(B147="-","",INDEX('Inventaire M'!$A$2:$AW$9305,MATCH(B147,'Inventaire M'!$A:$A,0)-1,MATCH("poids",'Inventaire M'!#REF!,0)))</f>
        <v>#REF!</v>
      </c>
      <c r="L147" s="155" t="e">
        <f>IF(B147="-","",IF(ISERROR(INDEX('Inventaire M-1'!$A$2:$AZ$9320,MATCH(B147,'Inventaire M-1'!$A:$A,0)-1,MATCH("poids",'Inventaire M-1'!#REF!,0))),"Buy",INDEX('Inventaire M-1'!$A$2:$AZ$9320,MATCH(B147,'Inventaire M-1'!$A:$A,0)-1,MATCH("poids",'Inventaire M-1'!#REF!,0))))</f>
        <v>#REF!</v>
      </c>
      <c r="M147" s="175"/>
      <c r="N147" s="157" t="str">
        <f t="shared" si="6"/>
        <v>0</v>
      </c>
      <c r="O147" s="98" t="str">
        <f t="shared" si="7"/>
        <v/>
      </c>
      <c r="P147" s="80" t="e">
        <f t="shared" si="8"/>
        <v>#REF!</v>
      </c>
      <c r="Q147" s="75">
        <v>1.2299999999999999E-8</v>
      </c>
      <c r="R147" s="175" t="e">
        <f>IF(OR('Inventaire M-1'!#REF!="Dispo/Liquidité Investie",'Inventaire M-1'!#REF!="Option/Future",'Inventaire M-1'!#REF!="TCN",'Inventaire M-1'!#REF!=""),"-",'Inventaire M-1'!#REF!)</f>
        <v>#REF!</v>
      </c>
      <c r="S147" s="175" t="e">
        <f>IF(OR('Inventaire M-1'!#REF!="Dispo/Liquidité Investie",'Inventaire M-1'!#REF!="Option/Future",'Inventaire M-1'!#REF!="TCN",'Inventaire M-1'!#REF!=""),"-",'Inventaire M-1'!#REF!)</f>
        <v>#REF!</v>
      </c>
      <c r="T147" s="175"/>
      <c r="U147" s="175" t="e">
        <f>IF(R147="-","",INDEX('Inventaire M-1'!$A$2:$AG$9334,MATCH(R147,'Inventaire M-1'!$A:$A,0)-1,MATCH("Cours EUR",'Inventaire M-1'!#REF!,0)))</f>
        <v>#REF!</v>
      </c>
      <c r="V147" s="175" t="e">
        <f>IF(R147="-","",IF(ISERROR(INDEX('Inventaire M'!$A$2:$AD$9319,MATCH(R147,'Inventaire M'!$A:$A,0)-1,MATCH("Cours EUR",'Inventaire M'!#REF!,0))),"Sell",INDEX('Inventaire M'!$A$2:$AD$9319,MATCH(R147,'Inventaire M'!$A:$A,0)-1,MATCH("Cours EUR",'Inventaire M'!#REF!,0))))</f>
        <v>#REF!</v>
      </c>
      <c r="W147" s="175"/>
      <c r="X147" s="156" t="e">
        <f>IF(R147="-","",INDEX('Inventaire M-1'!$A$2:$AG$9334,MATCH(R147,'Inventaire M-1'!$A:$A,0)-1,MATCH("quantite",'Inventaire M-1'!#REF!,0)))</f>
        <v>#REF!</v>
      </c>
      <c r="Y147" s="156" t="e">
        <f>IF(S147="-","",IF(ISERROR(INDEX('Inventaire M'!$A$2:$AD$9319,MATCH(R147,'Inventaire M'!$A:$A,0)-1,MATCH("quantite",'Inventaire M'!#REF!,0))),"Sell",INDEX('Inventaire M'!$A$2:$AD$9319,MATCH(R147,'Inventaire M'!$A:$A,0)-1,MATCH("quantite",'Inventaire M'!#REF!,0))))</f>
        <v>#REF!</v>
      </c>
      <c r="Z147" s="175"/>
      <c r="AA147" s="155" t="e">
        <f>IF(R147="-","",INDEX('Inventaire M-1'!$A$2:$AG$9334,MATCH(R147,'Inventaire M-1'!$A:$A,0)-1,MATCH("poids",'Inventaire M-1'!#REF!,0)))</f>
        <v>#REF!</v>
      </c>
      <c r="AB147" s="155" t="e">
        <f>IF(R147="-","",IF(ISERROR(INDEX('Inventaire M'!$A$2:$AD$9319,MATCH(R147,'Inventaire M'!$A:$A,0)-1,MATCH("poids",'Inventaire M'!#REF!,0))),"Sell",INDEX('Inventaire M'!$A$2:$AD$9319,MATCH(R147,'Inventaire M'!$A:$A,0)-1,MATCH("poids",'Inventaire M'!#REF!,0))))</f>
        <v>#REF!</v>
      </c>
      <c r="AC147" s="175"/>
      <c r="AD147" s="157" t="str">
        <f t="shared" si="9"/>
        <v>0</v>
      </c>
      <c r="AE147" s="98" t="str">
        <f t="shared" si="10"/>
        <v/>
      </c>
      <c r="AF147" s="80" t="e">
        <f t="shared" si="11"/>
        <v>#REF!</v>
      </c>
    </row>
    <row r="148" spans="2:32" outlineLevel="1">
      <c r="B148" s="175" t="e">
        <f>IF(OR('Inventaire M'!#REF!="Dispo/Liquidité Investie",'Inventaire M'!#REF!="Option/Future",'Inventaire M'!#REF!="TCN",'Inventaire M'!#REF!=""),"-",'Inventaire M'!#REF!)</f>
        <v>#REF!</v>
      </c>
      <c r="C148" s="175" t="e">
        <f>IF(OR('Inventaire M'!#REF!="Dispo/Liquidité Investie",'Inventaire M'!#REF!="Option/Future",'Inventaire M'!#REF!="TCN",'Inventaire M'!#REF!=""),"-",'Inventaire M'!#REF!)</f>
        <v>#REF!</v>
      </c>
      <c r="D148" s="175"/>
      <c r="E148" s="175" t="e">
        <f>IF(B148="-","",INDEX('Inventaire M'!$A$2:$AW$9305,MATCH(B148,'Inventaire M'!$A:$A,0)-1,MATCH("Cours EUR",'Inventaire M'!#REF!,0)))</f>
        <v>#REF!</v>
      </c>
      <c r="F148" s="175" t="e">
        <f>IF(B148="-","",IF(ISERROR(INDEX('Inventaire M-1'!$A$2:$AZ$9320,MATCH(B148,'Inventaire M-1'!$A:$A,0)-1,MATCH("Cours EUR",'Inventaire M-1'!#REF!,0))),"Buy",INDEX('Inventaire M-1'!$A$2:$AZ$9320,MATCH(B148,'Inventaire M-1'!$A:$A,0)-1,MATCH("Cours EUR",'Inventaire M-1'!#REF!,0))))</f>
        <v>#REF!</v>
      </c>
      <c r="G148" s="175"/>
      <c r="H148" s="156" t="e">
        <f>IF(B148="-","",INDEX('Inventaire M'!$A$2:$AW$9305,MATCH(B148,'Inventaire M'!$A:$A,0)-1,MATCH("quantite",'Inventaire M'!#REF!,0)))</f>
        <v>#REF!</v>
      </c>
      <c r="I148" s="156" t="e">
        <f>IF(C148="-","",IF(ISERROR(INDEX('Inventaire M-1'!$A$2:$AZ$9320,MATCH(B148,'Inventaire M-1'!$A:$A,0)-1,MATCH("quantite",'Inventaire M-1'!#REF!,0))),"Buy",INDEX('Inventaire M-1'!$A$2:$AZ$9320,MATCH(B148,'Inventaire M-1'!$A:$A,0)-1,MATCH("quantite",'Inventaire M-1'!#REF!,0))))</f>
        <v>#REF!</v>
      </c>
      <c r="J148" s="175"/>
      <c r="K148" s="155" t="e">
        <f>IF(B148="-","",INDEX('Inventaire M'!$A$2:$AW$9305,MATCH(B148,'Inventaire M'!$A:$A,0)-1,MATCH("poids",'Inventaire M'!#REF!,0)))</f>
        <v>#REF!</v>
      </c>
      <c r="L148" s="155" t="e">
        <f>IF(B148="-","",IF(ISERROR(INDEX('Inventaire M-1'!$A$2:$AZ$9320,MATCH(B148,'Inventaire M-1'!$A:$A,0)-1,MATCH("poids",'Inventaire M-1'!#REF!,0))),"Buy",INDEX('Inventaire M-1'!$A$2:$AZ$9320,MATCH(B148,'Inventaire M-1'!$A:$A,0)-1,MATCH("poids",'Inventaire M-1'!#REF!,0))))</f>
        <v>#REF!</v>
      </c>
      <c r="M148" s="175"/>
      <c r="N148" s="157" t="str">
        <f t="shared" si="6"/>
        <v>0</v>
      </c>
      <c r="O148" s="98" t="str">
        <f t="shared" si="7"/>
        <v/>
      </c>
      <c r="P148" s="80" t="e">
        <f t="shared" si="8"/>
        <v>#REF!</v>
      </c>
      <c r="Q148" s="75">
        <v>1.24E-8</v>
      </c>
      <c r="R148" s="175" t="e">
        <f>IF(OR('Inventaire M-1'!#REF!="Dispo/Liquidité Investie",'Inventaire M-1'!#REF!="Option/Future",'Inventaire M-1'!#REF!="TCN",'Inventaire M-1'!#REF!=""),"-",'Inventaire M-1'!#REF!)</f>
        <v>#REF!</v>
      </c>
      <c r="S148" s="175" t="e">
        <f>IF(OR('Inventaire M-1'!#REF!="Dispo/Liquidité Investie",'Inventaire M-1'!#REF!="Option/Future",'Inventaire M-1'!#REF!="TCN",'Inventaire M-1'!#REF!=""),"-",'Inventaire M-1'!#REF!)</f>
        <v>#REF!</v>
      </c>
      <c r="T148" s="175"/>
      <c r="U148" s="175" t="e">
        <f>IF(R148="-","",INDEX('Inventaire M-1'!$A$2:$AG$9334,MATCH(R148,'Inventaire M-1'!$A:$A,0)-1,MATCH("Cours EUR",'Inventaire M-1'!#REF!,0)))</f>
        <v>#REF!</v>
      </c>
      <c r="V148" s="175" t="e">
        <f>IF(R148="-","",IF(ISERROR(INDEX('Inventaire M'!$A$2:$AD$9319,MATCH(R148,'Inventaire M'!$A:$A,0)-1,MATCH("Cours EUR",'Inventaire M'!#REF!,0))),"Sell",INDEX('Inventaire M'!$A$2:$AD$9319,MATCH(R148,'Inventaire M'!$A:$A,0)-1,MATCH("Cours EUR",'Inventaire M'!#REF!,0))))</f>
        <v>#REF!</v>
      </c>
      <c r="W148" s="175"/>
      <c r="X148" s="156" t="e">
        <f>IF(R148="-","",INDEX('Inventaire M-1'!$A$2:$AG$9334,MATCH(R148,'Inventaire M-1'!$A:$A,0)-1,MATCH("quantite",'Inventaire M-1'!#REF!,0)))</f>
        <v>#REF!</v>
      </c>
      <c r="Y148" s="156" t="e">
        <f>IF(S148="-","",IF(ISERROR(INDEX('Inventaire M'!$A$2:$AD$9319,MATCH(R148,'Inventaire M'!$A:$A,0)-1,MATCH("quantite",'Inventaire M'!#REF!,0))),"Sell",INDEX('Inventaire M'!$A$2:$AD$9319,MATCH(R148,'Inventaire M'!$A:$A,0)-1,MATCH("quantite",'Inventaire M'!#REF!,0))))</f>
        <v>#REF!</v>
      </c>
      <c r="Z148" s="175"/>
      <c r="AA148" s="155" t="e">
        <f>IF(R148="-","",INDEX('Inventaire M-1'!$A$2:$AG$9334,MATCH(R148,'Inventaire M-1'!$A:$A,0)-1,MATCH("poids",'Inventaire M-1'!#REF!,0)))</f>
        <v>#REF!</v>
      </c>
      <c r="AB148" s="155" t="e">
        <f>IF(R148="-","",IF(ISERROR(INDEX('Inventaire M'!$A$2:$AD$9319,MATCH(R148,'Inventaire M'!$A:$A,0)-1,MATCH("poids",'Inventaire M'!#REF!,0))),"Sell",INDEX('Inventaire M'!$A$2:$AD$9319,MATCH(R148,'Inventaire M'!$A:$A,0)-1,MATCH("poids",'Inventaire M'!#REF!,0))))</f>
        <v>#REF!</v>
      </c>
      <c r="AC148" s="175"/>
      <c r="AD148" s="157" t="str">
        <f t="shared" si="9"/>
        <v>0</v>
      </c>
      <c r="AE148" s="98" t="str">
        <f t="shared" si="10"/>
        <v/>
      </c>
      <c r="AF148" s="80" t="e">
        <f t="shared" si="11"/>
        <v>#REF!</v>
      </c>
    </row>
    <row r="149" spans="2:32" outlineLevel="1">
      <c r="B149" s="175" t="e">
        <f>IF(OR('Inventaire M'!#REF!="Dispo/Liquidité Investie",'Inventaire M'!#REF!="Option/Future",'Inventaire M'!#REF!="TCN",'Inventaire M'!#REF!=""),"-",'Inventaire M'!#REF!)</f>
        <v>#REF!</v>
      </c>
      <c r="C149" s="175" t="e">
        <f>IF(OR('Inventaire M'!#REF!="Dispo/Liquidité Investie",'Inventaire M'!#REF!="Option/Future",'Inventaire M'!#REF!="TCN",'Inventaire M'!#REF!=""),"-",'Inventaire M'!#REF!)</f>
        <v>#REF!</v>
      </c>
      <c r="D149" s="175"/>
      <c r="E149" s="175" t="e">
        <f>IF(B149="-","",INDEX('Inventaire M'!$A$2:$AW$9305,MATCH(B149,'Inventaire M'!$A:$A,0)-1,MATCH("Cours EUR",'Inventaire M'!#REF!,0)))</f>
        <v>#REF!</v>
      </c>
      <c r="F149" s="175" t="e">
        <f>IF(B149="-","",IF(ISERROR(INDEX('Inventaire M-1'!$A$2:$AZ$9320,MATCH(B149,'Inventaire M-1'!$A:$A,0)-1,MATCH("Cours EUR",'Inventaire M-1'!#REF!,0))),"Buy",INDEX('Inventaire M-1'!$A$2:$AZ$9320,MATCH(B149,'Inventaire M-1'!$A:$A,0)-1,MATCH("Cours EUR",'Inventaire M-1'!#REF!,0))))</f>
        <v>#REF!</v>
      </c>
      <c r="G149" s="175"/>
      <c r="H149" s="156" t="e">
        <f>IF(B149="-","",INDEX('Inventaire M'!$A$2:$AW$9305,MATCH(B149,'Inventaire M'!$A:$A,0)-1,MATCH("quantite",'Inventaire M'!#REF!,0)))</f>
        <v>#REF!</v>
      </c>
      <c r="I149" s="156" t="e">
        <f>IF(C149="-","",IF(ISERROR(INDEX('Inventaire M-1'!$A$2:$AZ$9320,MATCH(B149,'Inventaire M-1'!$A:$A,0)-1,MATCH("quantite",'Inventaire M-1'!#REF!,0))),"Buy",INDEX('Inventaire M-1'!$A$2:$AZ$9320,MATCH(B149,'Inventaire M-1'!$A:$A,0)-1,MATCH("quantite",'Inventaire M-1'!#REF!,0))))</f>
        <v>#REF!</v>
      </c>
      <c r="J149" s="175"/>
      <c r="K149" s="155" t="e">
        <f>IF(B149="-","",INDEX('Inventaire M'!$A$2:$AW$9305,MATCH(B149,'Inventaire M'!$A:$A,0)-1,MATCH("poids",'Inventaire M'!#REF!,0)))</f>
        <v>#REF!</v>
      </c>
      <c r="L149" s="155" t="e">
        <f>IF(B149="-","",IF(ISERROR(INDEX('Inventaire M-1'!$A$2:$AZ$9320,MATCH(B149,'Inventaire M-1'!$A:$A,0)-1,MATCH("poids",'Inventaire M-1'!#REF!,0))),"Buy",INDEX('Inventaire M-1'!$A$2:$AZ$9320,MATCH(B149,'Inventaire M-1'!$A:$A,0)-1,MATCH("poids",'Inventaire M-1'!#REF!,0))))</f>
        <v>#REF!</v>
      </c>
      <c r="M149" s="175"/>
      <c r="N149" s="157" t="str">
        <f t="shared" si="6"/>
        <v>0</v>
      </c>
      <c r="O149" s="98" t="str">
        <f t="shared" si="7"/>
        <v/>
      </c>
      <c r="P149" s="80" t="e">
        <f t="shared" si="8"/>
        <v>#REF!</v>
      </c>
      <c r="Q149" s="75">
        <v>1.2499999999999999E-8</v>
      </c>
      <c r="R149" s="175" t="e">
        <f>IF(OR('Inventaire M-1'!#REF!="Dispo/Liquidité Investie",'Inventaire M-1'!#REF!="Option/Future",'Inventaire M-1'!#REF!="TCN",'Inventaire M-1'!#REF!=""),"-",'Inventaire M-1'!#REF!)</f>
        <v>#REF!</v>
      </c>
      <c r="S149" s="175" t="e">
        <f>IF(OR('Inventaire M-1'!#REF!="Dispo/Liquidité Investie",'Inventaire M-1'!#REF!="Option/Future",'Inventaire M-1'!#REF!="TCN",'Inventaire M-1'!#REF!=""),"-",'Inventaire M-1'!#REF!)</f>
        <v>#REF!</v>
      </c>
      <c r="T149" s="175"/>
      <c r="U149" s="175" t="e">
        <f>IF(R149="-","",INDEX('Inventaire M-1'!$A$2:$AG$9334,MATCH(R149,'Inventaire M-1'!$A:$A,0)-1,MATCH("Cours EUR",'Inventaire M-1'!#REF!,0)))</f>
        <v>#REF!</v>
      </c>
      <c r="V149" s="175" t="e">
        <f>IF(R149="-","",IF(ISERROR(INDEX('Inventaire M'!$A$2:$AD$9319,MATCH(R149,'Inventaire M'!$A:$A,0)-1,MATCH("Cours EUR",'Inventaire M'!#REF!,0))),"Sell",INDEX('Inventaire M'!$A$2:$AD$9319,MATCH(R149,'Inventaire M'!$A:$A,0)-1,MATCH("Cours EUR",'Inventaire M'!#REF!,0))))</f>
        <v>#REF!</v>
      </c>
      <c r="W149" s="175"/>
      <c r="X149" s="156" t="e">
        <f>IF(R149="-","",INDEX('Inventaire M-1'!$A$2:$AG$9334,MATCH(R149,'Inventaire M-1'!$A:$A,0)-1,MATCH("quantite",'Inventaire M-1'!#REF!,0)))</f>
        <v>#REF!</v>
      </c>
      <c r="Y149" s="156" t="e">
        <f>IF(S149="-","",IF(ISERROR(INDEX('Inventaire M'!$A$2:$AD$9319,MATCH(R149,'Inventaire M'!$A:$A,0)-1,MATCH("quantite",'Inventaire M'!#REF!,0))),"Sell",INDEX('Inventaire M'!$A$2:$AD$9319,MATCH(R149,'Inventaire M'!$A:$A,0)-1,MATCH("quantite",'Inventaire M'!#REF!,0))))</f>
        <v>#REF!</v>
      </c>
      <c r="Z149" s="175"/>
      <c r="AA149" s="155" t="e">
        <f>IF(R149="-","",INDEX('Inventaire M-1'!$A$2:$AG$9334,MATCH(R149,'Inventaire M-1'!$A:$A,0)-1,MATCH("poids",'Inventaire M-1'!#REF!,0)))</f>
        <v>#REF!</v>
      </c>
      <c r="AB149" s="155" t="e">
        <f>IF(R149="-","",IF(ISERROR(INDEX('Inventaire M'!$A$2:$AD$9319,MATCH(R149,'Inventaire M'!$A:$A,0)-1,MATCH("poids",'Inventaire M'!#REF!,0))),"Sell",INDEX('Inventaire M'!$A$2:$AD$9319,MATCH(R149,'Inventaire M'!$A:$A,0)-1,MATCH("poids",'Inventaire M'!#REF!,0))))</f>
        <v>#REF!</v>
      </c>
      <c r="AC149" s="175"/>
      <c r="AD149" s="157" t="str">
        <f t="shared" si="9"/>
        <v>0</v>
      </c>
      <c r="AE149" s="98" t="str">
        <f t="shared" si="10"/>
        <v/>
      </c>
      <c r="AF149" s="80" t="e">
        <f t="shared" si="11"/>
        <v>#REF!</v>
      </c>
    </row>
    <row r="150" spans="2:32" outlineLevel="1">
      <c r="B150" s="175" t="e">
        <f>IF(OR('Inventaire M'!#REF!="Dispo/Liquidité Investie",'Inventaire M'!#REF!="Option/Future",'Inventaire M'!#REF!="TCN",'Inventaire M'!#REF!=""),"-",'Inventaire M'!#REF!)</f>
        <v>#REF!</v>
      </c>
      <c r="C150" s="175" t="e">
        <f>IF(OR('Inventaire M'!#REF!="Dispo/Liquidité Investie",'Inventaire M'!#REF!="Option/Future",'Inventaire M'!#REF!="TCN",'Inventaire M'!#REF!=""),"-",'Inventaire M'!#REF!)</f>
        <v>#REF!</v>
      </c>
      <c r="D150" s="175"/>
      <c r="E150" s="175" t="e">
        <f>IF(B150="-","",INDEX('Inventaire M'!$A$2:$AW$9305,MATCH(B150,'Inventaire M'!$A:$A,0)-1,MATCH("Cours EUR",'Inventaire M'!#REF!,0)))</f>
        <v>#REF!</v>
      </c>
      <c r="F150" s="175" t="e">
        <f>IF(B150="-","",IF(ISERROR(INDEX('Inventaire M-1'!$A$2:$AZ$9320,MATCH(B150,'Inventaire M-1'!$A:$A,0)-1,MATCH("Cours EUR",'Inventaire M-1'!#REF!,0))),"Buy",INDEX('Inventaire M-1'!$A$2:$AZ$9320,MATCH(B150,'Inventaire M-1'!$A:$A,0)-1,MATCH("Cours EUR",'Inventaire M-1'!#REF!,0))))</f>
        <v>#REF!</v>
      </c>
      <c r="G150" s="175"/>
      <c r="H150" s="156" t="e">
        <f>IF(B150="-","",INDEX('Inventaire M'!$A$2:$AW$9305,MATCH(B150,'Inventaire M'!$A:$A,0)-1,MATCH("quantite",'Inventaire M'!#REF!,0)))</f>
        <v>#REF!</v>
      </c>
      <c r="I150" s="156" t="e">
        <f>IF(C150="-","",IF(ISERROR(INDEX('Inventaire M-1'!$A$2:$AZ$9320,MATCH(B150,'Inventaire M-1'!$A:$A,0)-1,MATCH("quantite",'Inventaire M-1'!#REF!,0))),"Buy",INDEX('Inventaire M-1'!$A$2:$AZ$9320,MATCH(B150,'Inventaire M-1'!$A:$A,0)-1,MATCH("quantite",'Inventaire M-1'!#REF!,0))))</f>
        <v>#REF!</v>
      </c>
      <c r="J150" s="175"/>
      <c r="K150" s="155" t="e">
        <f>IF(B150="-","",INDEX('Inventaire M'!$A$2:$AW$9305,MATCH(B150,'Inventaire M'!$A:$A,0)-1,MATCH("poids",'Inventaire M'!#REF!,0)))</f>
        <v>#REF!</v>
      </c>
      <c r="L150" s="155" t="e">
        <f>IF(B150="-","",IF(ISERROR(INDEX('Inventaire M-1'!$A$2:$AZ$9320,MATCH(B150,'Inventaire M-1'!$A:$A,0)-1,MATCH("poids",'Inventaire M-1'!#REF!,0))),"Buy",INDEX('Inventaire M-1'!$A$2:$AZ$9320,MATCH(B150,'Inventaire M-1'!$A:$A,0)-1,MATCH("poids",'Inventaire M-1'!#REF!,0))))</f>
        <v>#REF!</v>
      </c>
      <c r="M150" s="175"/>
      <c r="N150" s="157" t="str">
        <f t="shared" si="6"/>
        <v>0</v>
      </c>
      <c r="O150" s="98" t="str">
        <f t="shared" si="7"/>
        <v/>
      </c>
      <c r="P150" s="80" t="e">
        <f t="shared" si="8"/>
        <v>#REF!</v>
      </c>
      <c r="Q150" s="75">
        <v>1.26E-8</v>
      </c>
      <c r="R150" s="175" t="e">
        <f>IF(OR('Inventaire M-1'!#REF!="Dispo/Liquidité Investie",'Inventaire M-1'!#REF!="Option/Future",'Inventaire M-1'!#REF!="TCN",'Inventaire M-1'!#REF!=""),"-",'Inventaire M-1'!#REF!)</f>
        <v>#REF!</v>
      </c>
      <c r="S150" s="175" t="e">
        <f>IF(OR('Inventaire M-1'!#REF!="Dispo/Liquidité Investie",'Inventaire M-1'!#REF!="Option/Future",'Inventaire M-1'!#REF!="TCN",'Inventaire M-1'!#REF!=""),"-",'Inventaire M-1'!#REF!)</f>
        <v>#REF!</v>
      </c>
      <c r="T150" s="175"/>
      <c r="U150" s="175" t="e">
        <f>IF(R150="-","",INDEX('Inventaire M-1'!$A$2:$AG$9334,MATCH(R150,'Inventaire M-1'!$A:$A,0)-1,MATCH("Cours EUR",'Inventaire M-1'!#REF!,0)))</f>
        <v>#REF!</v>
      </c>
      <c r="V150" s="175" t="e">
        <f>IF(R150="-","",IF(ISERROR(INDEX('Inventaire M'!$A$2:$AD$9319,MATCH(R150,'Inventaire M'!$A:$A,0)-1,MATCH("Cours EUR",'Inventaire M'!#REF!,0))),"Sell",INDEX('Inventaire M'!$A$2:$AD$9319,MATCH(R150,'Inventaire M'!$A:$A,0)-1,MATCH("Cours EUR",'Inventaire M'!#REF!,0))))</f>
        <v>#REF!</v>
      </c>
      <c r="W150" s="175"/>
      <c r="X150" s="156" t="e">
        <f>IF(R150="-","",INDEX('Inventaire M-1'!$A$2:$AG$9334,MATCH(R150,'Inventaire M-1'!$A:$A,0)-1,MATCH("quantite",'Inventaire M-1'!#REF!,0)))</f>
        <v>#REF!</v>
      </c>
      <c r="Y150" s="156" t="e">
        <f>IF(S150="-","",IF(ISERROR(INDEX('Inventaire M'!$A$2:$AD$9319,MATCH(R150,'Inventaire M'!$A:$A,0)-1,MATCH("quantite",'Inventaire M'!#REF!,0))),"Sell",INDEX('Inventaire M'!$A$2:$AD$9319,MATCH(R150,'Inventaire M'!$A:$A,0)-1,MATCH("quantite",'Inventaire M'!#REF!,0))))</f>
        <v>#REF!</v>
      </c>
      <c r="Z150" s="175"/>
      <c r="AA150" s="155" t="e">
        <f>IF(R150="-","",INDEX('Inventaire M-1'!$A$2:$AG$9334,MATCH(R150,'Inventaire M-1'!$A:$A,0)-1,MATCH("poids",'Inventaire M-1'!#REF!,0)))</f>
        <v>#REF!</v>
      </c>
      <c r="AB150" s="155" t="e">
        <f>IF(R150="-","",IF(ISERROR(INDEX('Inventaire M'!$A$2:$AD$9319,MATCH(R150,'Inventaire M'!$A:$A,0)-1,MATCH("poids",'Inventaire M'!#REF!,0))),"Sell",INDEX('Inventaire M'!$A$2:$AD$9319,MATCH(R150,'Inventaire M'!$A:$A,0)-1,MATCH("poids",'Inventaire M'!#REF!,0))))</f>
        <v>#REF!</v>
      </c>
      <c r="AC150" s="175"/>
      <c r="AD150" s="157" t="str">
        <f t="shared" si="9"/>
        <v>0</v>
      </c>
      <c r="AE150" s="98" t="str">
        <f t="shared" si="10"/>
        <v/>
      </c>
      <c r="AF150" s="80" t="e">
        <f t="shared" si="11"/>
        <v>#REF!</v>
      </c>
    </row>
    <row r="151" spans="2:32" outlineLevel="1">
      <c r="B151" s="175" t="e">
        <f>IF(OR('Inventaire M'!#REF!="Dispo/Liquidité Investie",'Inventaire M'!#REF!="Option/Future",'Inventaire M'!#REF!="TCN",'Inventaire M'!#REF!=""),"-",'Inventaire M'!#REF!)</f>
        <v>#REF!</v>
      </c>
      <c r="C151" s="175" t="e">
        <f>IF(OR('Inventaire M'!#REF!="Dispo/Liquidité Investie",'Inventaire M'!#REF!="Option/Future",'Inventaire M'!#REF!="TCN",'Inventaire M'!#REF!=""),"-",'Inventaire M'!#REF!)</f>
        <v>#REF!</v>
      </c>
      <c r="D151" s="175"/>
      <c r="E151" s="175" t="e">
        <f>IF(B151="-","",INDEX('Inventaire M'!$A$2:$AW$9305,MATCH(B151,'Inventaire M'!$A:$A,0)-1,MATCH("Cours EUR",'Inventaire M'!#REF!,0)))</f>
        <v>#REF!</v>
      </c>
      <c r="F151" s="175" t="e">
        <f>IF(B151="-","",IF(ISERROR(INDEX('Inventaire M-1'!$A$2:$AZ$9320,MATCH(B151,'Inventaire M-1'!$A:$A,0)-1,MATCH("Cours EUR",'Inventaire M-1'!#REF!,0))),"Buy",INDEX('Inventaire M-1'!$A$2:$AZ$9320,MATCH(B151,'Inventaire M-1'!$A:$A,0)-1,MATCH("Cours EUR",'Inventaire M-1'!#REF!,0))))</f>
        <v>#REF!</v>
      </c>
      <c r="G151" s="175"/>
      <c r="H151" s="156" t="e">
        <f>IF(B151="-","",INDEX('Inventaire M'!$A$2:$AW$9305,MATCH(B151,'Inventaire M'!$A:$A,0)-1,MATCH("quantite",'Inventaire M'!#REF!,0)))</f>
        <v>#REF!</v>
      </c>
      <c r="I151" s="156" t="e">
        <f>IF(C151="-","",IF(ISERROR(INDEX('Inventaire M-1'!$A$2:$AZ$9320,MATCH(B151,'Inventaire M-1'!$A:$A,0)-1,MATCH("quantite",'Inventaire M-1'!#REF!,0))),"Buy",INDEX('Inventaire M-1'!$A$2:$AZ$9320,MATCH(B151,'Inventaire M-1'!$A:$A,0)-1,MATCH("quantite",'Inventaire M-1'!#REF!,0))))</f>
        <v>#REF!</v>
      </c>
      <c r="J151" s="175"/>
      <c r="K151" s="155" t="e">
        <f>IF(B151="-","",INDEX('Inventaire M'!$A$2:$AW$9305,MATCH(B151,'Inventaire M'!$A:$A,0)-1,MATCH("poids",'Inventaire M'!#REF!,0)))</f>
        <v>#REF!</v>
      </c>
      <c r="L151" s="155" t="e">
        <f>IF(B151="-","",IF(ISERROR(INDEX('Inventaire M-1'!$A$2:$AZ$9320,MATCH(B151,'Inventaire M-1'!$A:$A,0)-1,MATCH("poids",'Inventaire M-1'!#REF!,0))),"Buy",INDEX('Inventaire M-1'!$A$2:$AZ$9320,MATCH(B151,'Inventaire M-1'!$A:$A,0)-1,MATCH("poids",'Inventaire M-1'!#REF!,0))))</f>
        <v>#REF!</v>
      </c>
      <c r="M151" s="175"/>
      <c r="N151" s="157" t="str">
        <f t="shared" si="6"/>
        <v>0</v>
      </c>
      <c r="O151" s="98" t="str">
        <f t="shared" si="7"/>
        <v/>
      </c>
      <c r="P151" s="80" t="e">
        <f t="shared" si="8"/>
        <v>#REF!</v>
      </c>
      <c r="Q151" s="75">
        <v>1.27E-8</v>
      </c>
      <c r="R151" s="175" t="e">
        <f>IF(OR('Inventaire M-1'!#REF!="Dispo/Liquidité Investie",'Inventaire M-1'!#REF!="Option/Future",'Inventaire M-1'!#REF!="TCN",'Inventaire M-1'!#REF!=""),"-",'Inventaire M-1'!#REF!)</f>
        <v>#REF!</v>
      </c>
      <c r="S151" s="175" t="e">
        <f>IF(OR('Inventaire M-1'!#REF!="Dispo/Liquidité Investie",'Inventaire M-1'!#REF!="Option/Future",'Inventaire M-1'!#REF!="TCN",'Inventaire M-1'!#REF!=""),"-",'Inventaire M-1'!#REF!)</f>
        <v>#REF!</v>
      </c>
      <c r="T151" s="175"/>
      <c r="U151" s="175" t="e">
        <f>IF(R151="-","",INDEX('Inventaire M-1'!$A$2:$AG$9334,MATCH(R151,'Inventaire M-1'!$A:$A,0)-1,MATCH("Cours EUR",'Inventaire M-1'!#REF!,0)))</f>
        <v>#REF!</v>
      </c>
      <c r="V151" s="175" t="e">
        <f>IF(R151="-","",IF(ISERROR(INDEX('Inventaire M'!$A$2:$AD$9319,MATCH(R151,'Inventaire M'!$A:$A,0)-1,MATCH("Cours EUR",'Inventaire M'!#REF!,0))),"Sell",INDEX('Inventaire M'!$A$2:$AD$9319,MATCH(R151,'Inventaire M'!$A:$A,0)-1,MATCH("Cours EUR",'Inventaire M'!#REF!,0))))</f>
        <v>#REF!</v>
      </c>
      <c r="W151" s="175"/>
      <c r="X151" s="156" t="e">
        <f>IF(R151="-","",INDEX('Inventaire M-1'!$A$2:$AG$9334,MATCH(R151,'Inventaire M-1'!$A:$A,0)-1,MATCH("quantite",'Inventaire M-1'!#REF!,0)))</f>
        <v>#REF!</v>
      </c>
      <c r="Y151" s="156" t="e">
        <f>IF(S151="-","",IF(ISERROR(INDEX('Inventaire M'!$A$2:$AD$9319,MATCH(R151,'Inventaire M'!$A:$A,0)-1,MATCH("quantite",'Inventaire M'!#REF!,0))),"Sell",INDEX('Inventaire M'!$A$2:$AD$9319,MATCH(R151,'Inventaire M'!$A:$A,0)-1,MATCH("quantite",'Inventaire M'!#REF!,0))))</f>
        <v>#REF!</v>
      </c>
      <c r="Z151" s="175"/>
      <c r="AA151" s="155" t="e">
        <f>IF(R151="-","",INDEX('Inventaire M-1'!$A$2:$AG$9334,MATCH(R151,'Inventaire M-1'!$A:$A,0)-1,MATCH("poids",'Inventaire M-1'!#REF!,0)))</f>
        <v>#REF!</v>
      </c>
      <c r="AB151" s="155" t="e">
        <f>IF(R151="-","",IF(ISERROR(INDEX('Inventaire M'!$A$2:$AD$9319,MATCH(R151,'Inventaire M'!$A:$A,0)-1,MATCH("poids",'Inventaire M'!#REF!,0))),"Sell",INDEX('Inventaire M'!$A$2:$AD$9319,MATCH(R151,'Inventaire M'!$A:$A,0)-1,MATCH("poids",'Inventaire M'!#REF!,0))))</f>
        <v>#REF!</v>
      </c>
      <c r="AC151" s="175"/>
      <c r="AD151" s="157" t="str">
        <f t="shared" si="9"/>
        <v>0</v>
      </c>
      <c r="AE151" s="98" t="str">
        <f t="shared" si="10"/>
        <v/>
      </c>
      <c r="AF151" s="80" t="e">
        <f t="shared" si="11"/>
        <v>#REF!</v>
      </c>
    </row>
    <row r="152" spans="2:32" outlineLevel="1">
      <c r="B152" s="175" t="e">
        <f>IF(OR('Inventaire M'!#REF!="Dispo/Liquidité Investie",'Inventaire M'!#REF!="Option/Future",'Inventaire M'!#REF!="TCN",'Inventaire M'!#REF!=""),"-",'Inventaire M'!#REF!)</f>
        <v>#REF!</v>
      </c>
      <c r="C152" s="175" t="e">
        <f>IF(OR('Inventaire M'!#REF!="Dispo/Liquidité Investie",'Inventaire M'!#REF!="Option/Future",'Inventaire M'!#REF!="TCN",'Inventaire M'!#REF!=""),"-",'Inventaire M'!#REF!)</f>
        <v>#REF!</v>
      </c>
      <c r="D152" s="175"/>
      <c r="E152" s="175" t="e">
        <f>IF(B152="-","",INDEX('Inventaire M'!$A$2:$AW$9305,MATCH(B152,'Inventaire M'!$A:$A,0)-1,MATCH("Cours EUR",'Inventaire M'!#REF!,0)))</f>
        <v>#REF!</v>
      </c>
      <c r="F152" s="175" t="e">
        <f>IF(B152="-","",IF(ISERROR(INDEX('Inventaire M-1'!$A$2:$AZ$9320,MATCH(B152,'Inventaire M-1'!$A:$A,0)-1,MATCH("Cours EUR",'Inventaire M-1'!#REF!,0))),"Buy",INDEX('Inventaire M-1'!$A$2:$AZ$9320,MATCH(B152,'Inventaire M-1'!$A:$A,0)-1,MATCH("Cours EUR",'Inventaire M-1'!#REF!,0))))</f>
        <v>#REF!</v>
      </c>
      <c r="G152" s="175"/>
      <c r="H152" s="156" t="e">
        <f>IF(B152="-","",INDEX('Inventaire M'!$A$2:$AW$9305,MATCH(B152,'Inventaire M'!$A:$A,0)-1,MATCH("quantite",'Inventaire M'!#REF!,0)))</f>
        <v>#REF!</v>
      </c>
      <c r="I152" s="156" t="e">
        <f>IF(C152="-","",IF(ISERROR(INDEX('Inventaire M-1'!$A$2:$AZ$9320,MATCH(B152,'Inventaire M-1'!$A:$A,0)-1,MATCH("quantite",'Inventaire M-1'!#REF!,0))),"Buy",INDEX('Inventaire M-1'!$A$2:$AZ$9320,MATCH(B152,'Inventaire M-1'!$A:$A,0)-1,MATCH("quantite",'Inventaire M-1'!#REF!,0))))</f>
        <v>#REF!</v>
      </c>
      <c r="J152" s="175"/>
      <c r="K152" s="155" t="e">
        <f>IF(B152="-","",INDEX('Inventaire M'!$A$2:$AW$9305,MATCH(B152,'Inventaire M'!$A:$A,0)-1,MATCH("poids",'Inventaire M'!#REF!,0)))</f>
        <v>#REF!</v>
      </c>
      <c r="L152" s="155" t="e">
        <f>IF(B152="-","",IF(ISERROR(INDEX('Inventaire M-1'!$A$2:$AZ$9320,MATCH(B152,'Inventaire M-1'!$A:$A,0)-1,MATCH("poids",'Inventaire M-1'!#REF!,0))),"Buy",INDEX('Inventaire M-1'!$A$2:$AZ$9320,MATCH(B152,'Inventaire M-1'!$A:$A,0)-1,MATCH("poids",'Inventaire M-1'!#REF!,0))))</f>
        <v>#REF!</v>
      </c>
      <c r="M152" s="175"/>
      <c r="N152" s="157" t="str">
        <f t="shared" si="6"/>
        <v>0</v>
      </c>
      <c r="O152" s="98" t="str">
        <f t="shared" si="7"/>
        <v/>
      </c>
      <c r="P152" s="80" t="e">
        <f t="shared" si="8"/>
        <v>#REF!</v>
      </c>
      <c r="Q152" s="75">
        <v>1.28E-8</v>
      </c>
      <c r="R152" s="175" t="e">
        <f>IF(OR('Inventaire M-1'!#REF!="Dispo/Liquidité Investie",'Inventaire M-1'!#REF!="Option/Future",'Inventaire M-1'!#REF!="TCN",'Inventaire M-1'!#REF!=""),"-",'Inventaire M-1'!#REF!)</f>
        <v>#REF!</v>
      </c>
      <c r="S152" s="175" t="e">
        <f>IF(OR('Inventaire M-1'!#REF!="Dispo/Liquidité Investie",'Inventaire M-1'!#REF!="Option/Future",'Inventaire M-1'!#REF!="TCN",'Inventaire M-1'!#REF!=""),"-",'Inventaire M-1'!#REF!)</f>
        <v>#REF!</v>
      </c>
      <c r="T152" s="175"/>
      <c r="U152" s="175" t="e">
        <f>IF(R152="-","",INDEX('Inventaire M-1'!$A$2:$AG$9334,MATCH(R152,'Inventaire M-1'!$A:$A,0)-1,MATCH("Cours EUR",'Inventaire M-1'!#REF!,0)))</f>
        <v>#REF!</v>
      </c>
      <c r="V152" s="175" t="e">
        <f>IF(R152="-","",IF(ISERROR(INDEX('Inventaire M'!$A$2:$AD$9319,MATCH(R152,'Inventaire M'!$A:$A,0)-1,MATCH("Cours EUR",'Inventaire M'!#REF!,0))),"Sell",INDEX('Inventaire M'!$A$2:$AD$9319,MATCH(R152,'Inventaire M'!$A:$A,0)-1,MATCH("Cours EUR",'Inventaire M'!#REF!,0))))</f>
        <v>#REF!</v>
      </c>
      <c r="W152" s="175"/>
      <c r="X152" s="156" t="e">
        <f>IF(R152="-","",INDEX('Inventaire M-1'!$A$2:$AG$9334,MATCH(R152,'Inventaire M-1'!$A:$A,0)-1,MATCH("quantite",'Inventaire M-1'!#REF!,0)))</f>
        <v>#REF!</v>
      </c>
      <c r="Y152" s="156" t="e">
        <f>IF(S152="-","",IF(ISERROR(INDEX('Inventaire M'!$A$2:$AD$9319,MATCH(R152,'Inventaire M'!$A:$A,0)-1,MATCH("quantite",'Inventaire M'!#REF!,0))),"Sell",INDEX('Inventaire M'!$A$2:$AD$9319,MATCH(R152,'Inventaire M'!$A:$A,0)-1,MATCH("quantite",'Inventaire M'!#REF!,0))))</f>
        <v>#REF!</v>
      </c>
      <c r="Z152" s="175"/>
      <c r="AA152" s="155" t="e">
        <f>IF(R152="-","",INDEX('Inventaire M-1'!$A$2:$AG$9334,MATCH(R152,'Inventaire M-1'!$A:$A,0)-1,MATCH("poids",'Inventaire M-1'!#REF!,0)))</f>
        <v>#REF!</v>
      </c>
      <c r="AB152" s="155" t="e">
        <f>IF(R152="-","",IF(ISERROR(INDEX('Inventaire M'!$A$2:$AD$9319,MATCH(R152,'Inventaire M'!$A:$A,0)-1,MATCH("poids",'Inventaire M'!#REF!,0))),"Sell",INDEX('Inventaire M'!$A$2:$AD$9319,MATCH(R152,'Inventaire M'!$A:$A,0)-1,MATCH("poids",'Inventaire M'!#REF!,0))))</f>
        <v>#REF!</v>
      </c>
      <c r="AC152" s="175"/>
      <c r="AD152" s="157" t="str">
        <f t="shared" si="9"/>
        <v>0</v>
      </c>
      <c r="AE152" s="98" t="str">
        <f t="shared" si="10"/>
        <v/>
      </c>
      <c r="AF152" s="80" t="e">
        <f t="shared" si="11"/>
        <v>#REF!</v>
      </c>
    </row>
    <row r="153" spans="2:32" outlineLevel="1">
      <c r="B153" s="175" t="e">
        <f>IF(OR('Inventaire M'!#REF!="Dispo/Liquidité Investie",'Inventaire M'!#REF!="Option/Future",'Inventaire M'!#REF!="TCN",'Inventaire M'!#REF!=""),"-",'Inventaire M'!#REF!)</f>
        <v>#REF!</v>
      </c>
      <c r="C153" s="175" t="e">
        <f>IF(OR('Inventaire M'!#REF!="Dispo/Liquidité Investie",'Inventaire M'!#REF!="Option/Future",'Inventaire M'!#REF!="TCN",'Inventaire M'!#REF!=""),"-",'Inventaire M'!#REF!)</f>
        <v>#REF!</v>
      </c>
      <c r="D153" s="175"/>
      <c r="E153" s="175" t="e">
        <f>IF(B153="-","",INDEX('Inventaire M'!$A$2:$AW$9305,MATCH(B153,'Inventaire M'!$A:$A,0)-1,MATCH("Cours EUR",'Inventaire M'!#REF!,0)))</f>
        <v>#REF!</v>
      </c>
      <c r="F153" s="175" t="e">
        <f>IF(B153="-","",IF(ISERROR(INDEX('Inventaire M-1'!$A$2:$AZ$9320,MATCH(B153,'Inventaire M-1'!$A:$A,0)-1,MATCH("Cours EUR",'Inventaire M-1'!#REF!,0))),"Buy",INDEX('Inventaire M-1'!$A$2:$AZ$9320,MATCH(B153,'Inventaire M-1'!$A:$A,0)-1,MATCH("Cours EUR",'Inventaire M-1'!#REF!,0))))</f>
        <v>#REF!</v>
      </c>
      <c r="G153" s="175"/>
      <c r="H153" s="156" t="e">
        <f>IF(B153="-","",INDEX('Inventaire M'!$A$2:$AW$9305,MATCH(B153,'Inventaire M'!$A:$A,0)-1,MATCH("quantite",'Inventaire M'!#REF!,0)))</f>
        <v>#REF!</v>
      </c>
      <c r="I153" s="156" t="e">
        <f>IF(C153="-","",IF(ISERROR(INDEX('Inventaire M-1'!$A$2:$AZ$9320,MATCH(B153,'Inventaire M-1'!$A:$A,0)-1,MATCH("quantite",'Inventaire M-1'!#REF!,0))),"Buy",INDEX('Inventaire M-1'!$A$2:$AZ$9320,MATCH(B153,'Inventaire M-1'!$A:$A,0)-1,MATCH("quantite",'Inventaire M-1'!#REF!,0))))</f>
        <v>#REF!</v>
      </c>
      <c r="J153" s="175"/>
      <c r="K153" s="155" t="e">
        <f>IF(B153="-","",INDEX('Inventaire M'!$A$2:$AW$9305,MATCH(B153,'Inventaire M'!$A:$A,0)-1,MATCH("poids",'Inventaire M'!#REF!,0)))</f>
        <v>#REF!</v>
      </c>
      <c r="L153" s="155" t="e">
        <f>IF(B153="-","",IF(ISERROR(INDEX('Inventaire M-1'!$A$2:$AZ$9320,MATCH(B153,'Inventaire M-1'!$A:$A,0)-1,MATCH("poids",'Inventaire M-1'!#REF!,0))),"Buy",INDEX('Inventaire M-1'!$A$2:$AZ$9320,MATCH(B153,'Inventaire M-1'!$A:$A,0)-1,MATCH("poids",'Inventaire M-1'!#REF!,0))))</f>
        <v>#REF!</v>
      </c>
      <c r="M153" s="175"/>
      <c r="N153" s="157" t="str">
        <f t="shared" si="6"/>
        <v>0</v>
      </c>
      <c r="O153" s="98" t="str">
        <f t="shared" si="7"/>
        <v/>
      </c>
      <c r="P153" s="80" t="e">
        <f t="shared" si="8"/>
        <v>#REF!</v>
      </c>
      <c r="Q153" s="75">
        <v>1.29E-8</v>
      </c>
      <c r="R153" s="175" t="e">
        <f>IF(OR('Inventaire M-1'!#REF!="Dispo/Liquidité Investie",'Inventaire M-1'!#REF!="Option/Future",'Inventaire M-1'!#REF!="TCN",'Inventaire M-1'!#REF!=""),"-",'Inventaire M-1'!#REF!)</f>
        <v>#REF!</v>
      </c>
      <c r="S153" s="175" t="e">
        <f>IF(OR('Inventaire M-1'!#REF!="Dispo/Liquidité Investie",'Inventaire M-1'!#REF!="Option/Future",'Inventaire M-1'!#REF!="TCN",'Inventaire M-1'!#REF!=""),"-",'Inventaire M-1'!#REF!)</f>
        <v>#REF!</v>
      </c>
      <c r="T153" s="175"/>
      <c r="U153" s="175" t="e">
        <f>IF(R153="-","",INDEX('Inventaire M-1'!$A$2:$AG$9334,MATCH(R153,'Inventaire M-1'!$A:$A,0)-1,MATCH("Cours EUR",'Inventaire M-1'!#REF!,0)))</f>
        <v>#REF!</v>
      </c>
      <c r="V153" s="175" t="e">
        <f>IF(R153="-","",IF(ISERROR(INDEX('Inventaire M'!$A$2:$AD$9319,MATCH(R153,'Inventaire M'!$A:$A,0)-1,MATCH("Cours EUR",'Inventaire M'!#REF!,0))),"Sell",INDEX('Inventaire M'!$A$2:$AD$9319,MATCH(R153,'Inventaire M'!$A:$A,0)-1,MATCH("Cours EUR",'Inventaire M'!#REF!,0))))</f>
        <v>#REF!</v>
      </c>
      <c r="W153" s="175"/>
      <c r="X153" s="156" t="e">
        <f>IF(R153="-","",INDEX('Inventaire M-1'!$A$2:$AG$9334,MATCH(R153,'Inventaire M-1'!$A:$A,0)-1,MATCH("quantite",'Inventaire M-1'!#REF!,0)))</f>
        <v>#REF!</v>
      </c>
      <c r="Y153" s="156" t="e">
        <f>IF(S153="-","",IF(ISERROR(INDEX('Inventaire M'!$A$2:$AD$9319,MATCH(R153,'Inventaire M'!$A:$A,0)-1,MATCH("quantite",'Inventaire M'!#REF!,0))),"Sell",INDEX('Inventaire M'!$A$2:$AD$9319,MATCH(R153,'Inventaire M'!$A:$A,0)-1,MATCH("quantite",'Inventaire M'!#REF!,0))))</f>
        <v>#REF!</v>
      </c>
      <c r="Z153" s="175"/>
      <c r="AA153" s="155" t="e">
        <f>IF(R153="-","",INDEX('Inventaire M-1'!$A$2:$AG$9334,MATCH(R153,'Inventaire M-1'!$A:$A,0)-1,MATCH("poids",'Inventaire M-1'!#REF!,0)))</f>
        <v>#REF!</v>
      </c>
      <c r="AB153" s="155" t="e">
        <f>IF(R153="-","",IF(ISERROR(INDEX('Inventaire M'!$A$2:$AD$9319,MATCH(R153,'Inventaire M'!$A:$A,0)-1,MATCH("poids",'Inventaire M'!#REF!,0))),"Sell",INDEX('Inventaire M'!$A$2:$AD$9319,MATCH(R153,'Inventaire M'!$A:$A,0)-1,MATCH("poids",'Inventaire M'!#REF!,0))))</f>
        <v>#REF!</v>
      </c>
      <c r="AC153" s="175"/>
      <c r="AD153" s="157" t="str">
        <f t="shared" si="9"/>
        <v>0</v>
      </c>
      <c r="AE153" s="98" t="str">
        <f t="shared" si="10"/>
        <v/>
      </c>
      <c r="AF153" s="80" t="e">
        <f t="shared" si="11"/>
        <v>#REF!</v>
      </c>
    </row>
    <row r="154" spans="2:32" outlineLevel="1">
      <c r="B154" s="175" t="e">
        <f>IF(OR('Inventaire M'!#REF!="Dispo/Liquidité Investie",'Inventaire M'!#REF!="Option/Future",'Inventaire M'!#REF!="TCN",'Inventaire M'!#REF!=""),"-",'Inventaire M'!#REF!)</f>
        <v>#REF!</v>
      </c>
      <c r="C154" s="175" t="e">
        <f>IF(OR('Inventaire M'!#REF!="Dispo/Liquidité Investie",'Inventaire M'!#REF!="Option/Future",'Inventaire M'!#REF!="TCN",'Inventaire M'!#REF!=""),"-",'Inventaire M'!#REF!)</f>
        <v>#REF!</v>
      </c>
      <c r="D154" s="175"/>
      <c r="E154" s="175" t="e">
        <f>IF(B154="-","",INDEX('Inventaire M'!$A$2:$AW$9305,MATCH(B154,'Inventaire M'!$A:$A,0)-1,MATCH("Cours EUR",'Inventaire M'!#REF!,0)))</f>
        <v>#REF!</v>
      </c>
      <c r="F154" s="175" t="e">
        <f>IF(B154="-","",IF(ISERROR(INDEX('Inventaire M-1'!$A$2:$AZ$9320,MATCH(B154,'Inventaire M-1'!$A:$A,0)-1,MATCH("Cours EUR",'Inventaire M-1'!#REF!,0))),"Buy",INDEX('Inventaire M-1'!$A$2:$AZ$9320,MATCH(B154,'Inventaire M-1'!$A:$A,0)-1,MATCH("Cours EUR",'Inventaire M-1'!#REF!,0))))</f>
        <v>#REF!</v>
      </c>
      <c r="G154" s="175"/>
      <c r="H154" s="156" t="e">
        <f>IF(B154="-","",INDEX('Inventaire M'!$A$2:$AW$9305,MATCH(B154,'Inventaire M'!$A:$A,0)-1,MATCH("quantite",'Inventaire M'!#REF!,0)))</f>
        <v>#REF!</v>
      </c>
      <c r="I154" s="156" t="e">
        <f>IF(C154="-","",IF(ISERROR(INDEX('Inventaire M-1'!$A$2:$AZ$9320,MATCH(B154,'Inventaire M-1'!$A:$A,0)-1,MATCH("quantite",'Inventaire M-1'!#REF!,0))),"Buy",INDEX('Inventaire M-1'!$A$2:$AZ$9320,MATCH(B154,'Inventaire M-1'!$A:$A,0)-1,MATCH("quantite",'Inventaire M-1'!#REF!,0))))</f>
        <v>#REF!</v>
      </c>
      <c r="J154" s="175"/>
      <c r="K154" s="155" t="e">
        <f>IF(B154="-","",INDEX('Inventaire M'!$A$2:$AW$9305,MATCH(B154,'Inventaire M'!$A:$A,0)-1,MATCH("poids",'Inventaire M'!#REF!,0)))</f>
        <v>#REF!</v>
      </c>
      <c r="L154" s="155" t="e">
        <f>IF(B154="-","",IF(ISERROR(INDEX('Inventaire M-1'!$A$2:$AZ$9320,MATCH(B154,'Inventaire M-1'!$A:$A,0)-1,MATCH("poids",'Inventaire M-1'!#REF!,0))),"Buy",INDEX('Inventaire M-1'!$A$2:$AZ$9320,MATCH(B154,'Inventaire M-1'!$A:$A,0)-1,MATCH("poids",'Inventaire M-1'!#REF!,0))))</f>
        <v>#REF!</v>
      </c>
      <c r="M154" s="175"/>
      <c r="N154" s="157" t="str">
        <f t="shared" ref="N154:N199" si="12">IFERROR(IF(I154="Buy",H154,H154-I154),"0")</f>
        <v>0</v>
      </c>
      <c r="O154" s="98" t="str">
        <f t="shared" ref="O154:O199" si="13">IFERROR(IF(N154&gt;0,IF(L154="Buy",K154,K154-L154)+Q154,""),"")</f>
        <v/>
      </c>
      <c r="P154" s="80" t="e">
        <f t="shared" ref="P154:P199" si="14">C154</f>
        <v>#REF!</v>
      </c>
      <c r="Q154" s="75">
        <v>1.3000000000000001E-8</v>
      </c>
      <c r="R154" s="175" t="e">
        <f>IF(OR('Inventaire M-1'!#REF!="Dispo/Liquidité Investie",'Inventaire M-1'!#REF!="Option/Future",'Inventaire M-1'!#REF!="TCN",'Inventaire M-1'!#REF!=""),"-",'Inventaire M-1'!#REF!)</f>
        <v>#REF!</v>
      </c>
      <c r="S154" s="175" t="e">
        <f>IF(OR('Inventaire M-1'!#REF!="Dispo/Liquidité Investie",'Inventaire M-1'!#REF!="Option/Future",'Inventaire M-1'!#REF!="TCN",'Inventaire M-1'!#REF!=""),"-",'Inventaire M-1'!#REF!)</f>
        <v>#REF!</v>
      </c>
      <c r="T154" s="175"/>
      <c r="U154" s="175" t="e">
        <f>IF(R154="-","",INDEX('Inventaire M-1'!$A$2:$AG$9334,MATCH(R154,'Inventaire M-1'!$A:$A,0)-1,MATCH("Cours EUR",'Inventaire M-1'!#REF!,0)))</f>
        <v>#REF!</v>
      </c>
      <c r="V154" s="175" t="e">
        <f>IF(R154="-","",IF(ISERROR(INDEX('Inventaire M'!$A$2:$AD$9319,MATCH(R154,'Inventaire M'!$A:$A,0)-1,MATCH("Cours EUR",'Inventaire M'!#REF!,0))),"Sell",INDEX('Inventaire M'!$A$2:$AD$9319,MATCH(R154,'Inventaire M'!$A:$A,0)-1,MATCH("Cours EUR",'Inventaire M'!#REF!,0))))</f>
        <v>#REF!</v>
      </c>
      <c r="W154" s="175"/>
      <c r="X154" s="156" t="e">
        <f>IF(R154="-","",INDEX('Inventaire M-1'!$A$2:$AG$9334,MATCH(R154,'Inventaire M-1'!$A:$A,0)-1,MATCH("quantite",'Inventaire M-1'!#REF!,0)))</f>
        <v>#REF!</v>
      </c>
      <c r="Y154" s="156" t="e">
        <f>IF(S154="-","",IF(ISERROR(INDEX('Inventaire M'!$A$2:$AD$9319,MATCH(R154,'Inventaire M'!$A:$A,0)-1,MATCH("quantite",'Inventaire M'!#REF!,0))),"Sell",INDEX('Inventaire M'!$A$2:$AD$9319,MATCH(R154,'Inventaire M'!$A:$A,0)-1,MATCH("quantite",'Inventaire M'!#REF!,0))))</f>
        <v>#REF!</v>
      </c>
      <c r="Z154" s="175"/>
      <c r="AA154" s="155" t="e">
        <f>IF(R154="-","",INDEX('Inventaire M-1'!$A$2:$AG$9334,MATCH(R154,'Inventaire M-1'!$A:$A,0)-1,MATCH("poids",'Inventaire M-1'!#REF!,0)))</f>
        <v>#REF!</v>
      </c>
      <c r="AB154" s="155" t="e">
        <f>IF(R154="-","",IF(ISERROR(INDEX('Inventaire M'!$A$2:$AD$9319,MATCH(R154,'Inventaire M'!$A:$A,0)-1,MATCH("poids",'Inventaire M'!#REF!,0))),"Sell",INDEX('Inventaire M'!$A$2:$AD$9319,MATCH(R154,'Inventaire M'!$A:$A,0)-1,MATCH("poids",'Inventaire M'!#REF!,0))))</f>
        <v>#REF!</v>
      </c>
      <c r="AC154" s="175"/>
      <c r="AD154" s="157" t="str">
        <f t="shared" ref="AD154:AD197" si="15">IFERROR(IF(Y154="Sell",-X154,Y154-X154),"0")</f>
        <v>0</v>
      </c>
      <c r="AE154" s="98" t="str">
        <f t="shared" ref="AE154:AE197" si="16">IFERROR(IF(AD154&lt;0,IF(AB154="Sell",AA154+10%,AB154-AA154)+Q154,""),"")</f>
        <v/>
      </c>
      <c r="AF154" s="80" t="e">
        <f t="shared" ref="AF154:AF197" si="17">S154</f>
        <v>#REF!</v>
      </c>
    </row>
    <row r="155" spans="2:32" outlineLevel="1">
      <c r="B155" s="175" t="e">
        <f>IF(OR('Inventaire M'!#REF!="Dispo/Liquidité Investie",'Inventaire M'!#REF!="Option/Future",'Inventaire M'!#REF!="TCN",'Inventaire M'!#REF!=""),"-",'Inventaire M'!#REF!)</f>
        <v>#REF!</v>
      </c>
      <c r="C155" s="175" t="e">
        <f>IF(OR('Inventaire M'!#REF!="Dispo/Liquidité Investie",'Inventaire M'!#REF!="Option/Future",'Inventaire M'!#REF!="TCN",'Inventaire M'!#REF!=""),"-",'Inventaire M'!#REF!)</f>
        <v>#REF!</v>
      </c>
      <c r="D155" s="175"/>
      <c r="E155" s="175" t="e">
        <f>IF(B155="-","",INDEX('Inventaire M'!$A$2:$AW$9305,MATCH(B155,'Inventaire M'!$A:$A,0)-1,MATCH("Cours EUR",'Inventaire M'!#REF!,0)))</f>
        <v>#REF!</v>
      </c>
      <c r="F155" s="175" t="e">
        <f>IF(B155="-","",IF(ISERROR(INDEX('Inventaire M-1'!$A$2:$AZ$9320,MATCH(B155,'Inventaire M-1'!$A:$A,0)-1,MATCH("Cours EUR",'Inventaire M-1'!#REF!,0))),"Buy",INDEX('Inventaire M-1'!$A$2:$AZ$9320,MATCH(B155,'Inventaire M-1'!$A:$A,0)-1,MATCH("Cours EUR",'Inventaire M-1'!#REF!,0))))</f>
        <v>#REF!</v>
      </c>
      <c r="G155" s="175"/>
      <c r="H155" s="156" t="e">
        <f>IF(B155="-","",INDEX('Inventaire M'!$A$2:$AW$9305,MATCH(B155,'Inventaire M'!$A:$A,0)-1,MATCH("quantite",'Inventaire M'!#REF!,0)))</f>
        <v>#REF!</v>
      </c>
      <c r="I155" s="156" t="e">
        <f>IF(C155="-","",IF(ISERROR(INDEX('Inventaire M-1'!$A$2:$AZ$9320,MATCH(B155,'Inventaire M-1'!$A:$A,0)-1,MATCH("quantite",'Inventaire M-1'!#REF!,0))),"Buy",INDEX('Inventaire M-1'!$A$2:$AZ$9320,MATCH(B155,'Inventaire M-1'!$A:$A,0)-1,MATCH("quantite",'Inventaire M-1'!#REF!,0))))</f>
        <v>#REF!</v>
      </c>
      <c r="J155" s="175"/>
      <c r="K155" s="155" t="e">
        <f>IF(B155="-","",INDEX('Inventaire M'!$A$2:$AW$9305,MATCH(B155,'Inventaire M'!$A:$A,0)-1,MATCH("poids",'Inventaire M'!#REF!,0)))</f>
        <v>#REF!</v>
      </c>
      <c r="L155" s="155" t="e">
        <f>IF(B155="-","",IF(ISERROR(INDEX('Inventaire M-1'!$A$2:$AZ$9320,MATCH(B155,'Inventaire M-1'!$A:$A,0)-1,MATCH("poids",'Inventaire M-1'!#REF!,0))),"Buy",INDEX('Inventaire M-1'!$A$2:$AZ$9320,MATCH(B155,'Inventaire M-1'!$A:$A,0)-1,MATCH("poids",'Inventaire M-1'!#REF!,0))))</f>
        <v>#REF!</v>
      </c>
      <c r="M155" s="175"/>
      <c r="N155" s="157" t="str">
        <f t="shared" si="12"/>
        <v>0</v>
      </c>
      <c r="O155" s="98" t="str">
        <f t="shared" si="13"/>
        <v/>
      </c>
      <c r="P155" s="80" t="e">
        <f t="shared" si="14"/>
        <v>#REF!</v>
      </c>
      <c r="Q155" s="75">
        <v>1.31E-8</v>
      </c>
      <c r="R155" s="175" t="e">
        <f>IF(OR('Inventaire M-1'!#REF!="Dispo/Liquidité Investie",'Inventaire M-1'!#REF!="Option/Future",'Inventaire M-1'!#REF!="TCN",'Inventaire M-1'!#REF!=""),"-",'Inventaire M-1'!#REF!)</f>
        <v>#REF!</v>
      </c>
      <c r="S155" s="175" t="e">
        <f>IF(OR('Inventaire M-1'!#REF!="Dispo/Liquidité Investie",'Inventaire M-1'!#REF!="Option/Future",'Inventaire M-1'!#REF!="TCN",'Inventaire M-1'!#REF!=""),"-",'Inventaire M-1'!#REF!)</f>
        <v>#REF!</v>
      </c>
      <c r="T155" s="175"/>
      <c r="U155" s="175" t="e">
        <f>IF(R155="-","",INDEX('Inventaire M-1'!$A$2:$AG$9334,MATCH(R155,'Inventaire M-1'!$A:$A,0)-1,MATCH("Cours EUR",'Inventaire M-1'!#REF!,0)))</f>
        <v>#REF!</v>
      </c>
      <c r="V155" s="175" t="e">
        <f>IF(R155="-","",IF(ISERROR(INDEX('Inventaire M'!$A$2:$AD$9319,MATCH(R155,'Inventaire M'!$A:$A,0)-1,MATCH("Cours EUR",'Inventaire M'!#REF!,0))),"Sell",INDEX('Inventaire M'!$A$2:$AD$9319,MATCH(R155,'Inventaire M'!$A:$A,0)-1,MATCH("Cours EUR",'Inventaire M'!#REF!,0))))</f>
        <v>#REF!</v>
      </c>
      <c r="W155" s="175"/>
      <c r="X155" s="156" t="e">
        <f>IF(R155="-","",INDEX('Inventaire M-1'!$A$2:$AG$9334,MATCH(R155,'Inventaire M-1'!$A:$A,0)-1,MATCH("quantite",'Inventaire M-1'!#REF!,0)))</f>
        <v>#REF!</v>
      </c>
      <c r="Y155" s="156" t="e">
        <f>IF(S155="-","",IF(ISERROR(INDEX('Inventaire M'!$A$2:$AD$9319,MATCH(R155,'Inventaire M'!$A:$A,0)-1,MATCH("quantite",'Inventaire M'!#REF!,0))),"Sell",INDEX('Inventaire M'!$A$2:$AD$9319,MATCH(R155,'Inventaire M'!$A:$A,0)-1,MATCH("quantite",'Inventaire M'!#REF!,0))))</f>
        <v>#REF!</v>
      </c>
      <c r="Z155" s="175"/>
      <c r="AA155" s="155" t="e">
        <f>IF(R155="-","",INDEX('Inventaire M-1'!$A$2:$AG$9334,MATCH(R155,'Inventaire M-1'!$A:$A,0)-1,MATCH("poids",'Inventaire M-1'!#REF!,0)))</f>
        <v>#REF!</v>
      </c>
      <c r="AB155" s="155" t="e">
        <f>IF(R155="-","",IF(ISERROR(INDEX('Inventaire M'!$A$2:$AD$9319,MATCH(R155,'Inventaire M'!$A:$A,0)-1,MATCH("poids",'Inventaire M'!#REF!,0))),"Sell",INDEX('Inventaire M'!$A$2:$AD$9319,MATCH(R155,'Inventaire M'!$A:$A,0)-1,MATCH("poids",'Inventaire M'!#REF!,0))))</f>
        <v>#REF!</v>
      </c>
      <c r="AC155" s="175"/>
      <c r="AD155" s="157" t="str">
        <f t="shared" si="15"/>
        <v>0</v>
      </c>
      <c r="AE155" s="98" t="str">
        <f t="shared" si="16"/>
        <v/>
      </c>
      <c r="AF155" s="80" t="e">
        <f t="shared" si="17"/>
        <v>#REF!</v>
      </c>
    </row>
    <row r="156" spans="2:32" outlineLevel="1">
      <c r="B156" s="175" t="e">
        <f>IF(OR('Inventaire M'!#REF!="Dispo/Liquidité Investie",'Inventaire M'!#REF!="Option/Future",'Inventaire M'!#REF!="TCN",'Inventaire M'!#REF!=""),"-",'Inventaire M'!#REF!)</f>
        <v>#REF!</v>
      </c>
      <c r="C156" s="175" t="e">
        <f>IF(OR('Inventaire M'!#REF!="Dispo/Liquidité Investie",'Inventaire M'!#REF!="Option/Future",'Inventaire M'!#REF!="TCN",'Inventaire M'!#REF!=""),"-",'Inventaire M'!#REF!)</f>
        <v>#REF!</v>
      </c>
      <c r="D156" s="175"/>
      <c r="E156" s="175" t="e">
        <f>IF(B156="-","",INDEX('Inventaire M'!$A$2:$AW$9305,MATCH(B156,'Inventaire M'!$A:$A,0)-1,MATCH("Cours EUR",'Inventaire M'!#REF!,0)))</f>
        <v>#REF!</v>
      </c>
      <c r="F156" s="175" t="e">
        <f>IF(B156="-","",IF(ISERROR(INDEX('Inventaire M-1'!$A$2:$AZ$9320,MATCH(B156,'Inventaire M-1'!$A:$A,0)-1,MATCH("Cours EUR",'Inventaire M-1'!#REF!,0))),"Buy",INDEX('Inventaire M-1'!$A$2:$AZ$9320,MATCH(B156,'Inventaire M-1'!$A:$A,0)-1,MATCH("Cours EUR",'Inventaire M-1'!#REF!,0))))</f>
        <v>#REF!</v>
      </c>
      <c r="G156" s="175"/>
      <c r="H156" s="156" t="e">
        <f>IF(B156="-","",INDEX('Inventaire M'!$A$2:$AW$9305,MATCH(B156,'Inventaire M'!$A:$A,0)-1,MATCH("quantite",'Inventaire M'!#REF!,0)))</f>
        <v>#REF!</v>
      </c>
      <c r="I156" s="156" t="e">
        <f>IF(C156="-","",IF(ISERROR(INDEX('Inventaire M-1'!$A$2:$AZ$9320,MATCH(B156,'Inventaire M-1'!$A:$A,0)-1,MATCH("quantite",'Inventaire M-1'!#REF!,0))),"Buy",INDEX('Inventaire M-1'!$A$2:$AZ$9320,MATCH(B156,'Inventaire M-1'!$A:$A,0)-1,MATCH("quantite",'Inventaire M-1'!#REF!,0))))</f>
        <v>#REF!</v>
      </c>
      <c r="J156" s="175"/>
      <c r="K156" s="155" t="e">
        <f>IF(B156="-","",INDEX('Inventaire M'!$A$2:$AW$9305,MATCH(B156,'Inventaire M'!$A:$A,0)-1,MATCH("poids",'Inventaire M'!#REF!,0)))</f>
        <v>#REF!</v>
      </c>
      <c r="L156" s="155" t="e">
        <f>IF(B156="-","",IF(ISERROR(INDEX('Inventaire M-1'!$A$2:$AZ$9320,MATCH(B156,'Inventaire M-1'!$A:$A,0)-1,MATCH("poids",'Inventaire M-1'!#REF!,0))),"Buy",INDEX('Inventaire M-1'!$A$2:$AZ$9320,MATCH(B156,'Inventaire M-1'!$A:$A,0)-1,MATCH("poids",'Inventaire M-1'!#REF!,0))))</f>
        <v>#REF!</v>
      </c>
      <c r="M156" s="175"/>
      <c r="N156" s="157" t="str">
        <f t="shared" si="12"/>
        <v>0</v>
      </c>
      <c r="O156" s="98" t="str">
        <f t="shared" si="13"/>
        <v/>
      </c>
      <c r="P156" s="80" t="e">
        <f t="shared" si="14"/>
        <v>#REF!</v>
      </c>
      <c r="Q156" s="75">
        <v>1.3200000000000001E-8</v>
      </c>
      <c r="R156" s="175" t="e">
        <f>IF(OR('Inventaire M-1'!#REF!="Dispo/Liquidité Investie",'Inventaire M-1'!#REF!="Option/Future",'Inventaire M-1'!#REF!="TCN",'Inventaire M-1'!#REF!=""),"-",'Inventaire M-1'!#REF!)</f>
        <v>#REF!</v>
      </c>
      <c r="S156" s="175" t="e">
        <f>IF(OR('Inventaire M-1'!#REF!="Dispo/Liquidité Investie",'Inventaire M-1'!#REF!="Option/Future",'Inventaire M-1'!#REF!="TCN",'Inventaire M-1'!#REF!=""),"-",'Inventaire M-1'!#REF!)</f>
        <v>#REF!</v>
      </c>
      <c r="T156" s="175"/>
      <c r="U156" s="175" t="e">
        <f>IF(R156="-","",INDEX('Inventaire M-1'!$A$2:$AG$9334,MATCH(R156,'Inventaire M-1'!$A:$A,0)-1,MATCH("Cours EUR",'Inventaire M-1'!#REF!,0)))</f>
        <v>#REF!</v>
      </c>
      <c r="V156" s="175" t="e">
        <f>IF(R156="-","",IF(ISERROR(INDEX('Inventaire M'!$A$2:$AD$9319,MATCH(R156,'Inventaire M'!$A:$A,0)-1,MATCH("Cours EUR",'Inventaire M'!#REF!,0))),"Sell",INDEX('Inventaire M'!$A$2:$AD$9319,MATCH(R156,'Inventaire M'!$A:$A,0)-1,MATCH("Cours EUR",'Inventaire M'!#REF!,0))))</f>
        <v>#REF!</v>
      </c>
      <c r="W156" s="175"/>
      <c r="X156" s="156" t="e">
        <f>IF(R156="-","",INDEX('Inventaire M-1'!$A$2:$AG$9334,MATCH(R156,'Inventaire M-1'!$A:$A,0)-1,MATCH("quantite",'Inventaire M-1'!#REF!,0)))</f>
        <v>#REF!</v>
      </c>
      <c r="Y156" s="156" t="e">
        <f>IF(S156="-","",IF(ISERROR(INDEX('Inventaire M'!$A$2:$AD$9319,MATCH(R156,'Inventaire M'!$A:$A,0)-1,MATCH("quantite",'Inventaire M'!#REF!,0))),"Sell",INDEX('Inventaire M'!$A$2:$AD$9319,MATCH(R156,'Inventaire M'!$A:$A,0)-1,MATCH("quantite",'Inventaire M'!#REF!,0))))</f>
        <v>#REF!</v>
      </c>
      <c r="Z156" s="175"/>
      <c r="AA156" s="155" t="e">
        <f>IF(R156="-","",INDEX('Inventaire M-1'!$A$2:$AG$9334,MATCH(R156,'Inventaire M-1'!$A:$A,0)-1,MATCH("poids",'Inventaire M-1'!#REF!,0)))</f>
        <v>#REF!</v>
      </c>
      <c r="AB156" s="155" t="e">
        <f>IF(R156="-","",IF(ISERROR(INDEX('Inventaire M'!$A$2:$AD$9319,MATCH(R156,'Inventaire M'!$A:$A,0)-1,MATCH("poids",'Inventaire M'!#REF!,0))),"Sell",INDEX('Inventaire M'!$A$2:$AD$9319,MATCH(R156,'Inventaire M'!$A:$A,0)-1,MATCH("poids",'Inventaire M'!#REF!,0))))</f>
        <v>#REF!</v>
      </c>
      <c r="AC156" s="175"/>
      <c r="AD156" s="157" t="str">
        <f t="shared" si="15"/>
        <v>0</v>
      </c>
      <c r="AE156" s="98" t="str">
        <f t="shared" si="16"/>
        <v/>
      </c>
      <c r="AF156" s="80" t="e">
        <f t="shared" si="17"/>
        <v>#REF!</v>
      </c>
    </row>
    <row r="157" spans="2:32" outlineLevel="1">
      <c r="B157" s="175" t="e">
        <f>IF(OR('Inventaire M'!#REF!="Dispo/Liquidité Investie",'Inventaire M'!#REF!="Option/Future",'Inventaire M'!#REF!="TCN",'Inventaire M'!#REF!=""),"-",'Inventaire M'!#REF!)</f>
        <v>#REF!</v>
      </c>
      <c r="C157" s="175" t="e">
        <f>IF(OR('Inventaire M'!#REF!="Dispo/Liquidité Investie",'Inventaire M'!#REF!="Option/Future",'Inventaire M'!#REF!="TCN",'Inventaire M'!#REF!=""),"-",'Inventaire M'!#REF!)</f>
        <v>#REF!</v>
      </c>
      <c r="D157" s="175"/>
      <c r="E157" s="175" t="e">
        <f>IF(B157="-","",INDEX('Inventaire M'!$A$2:$AW$9305,MATCH(B157,'Inventaire M'!$A:$A,0)-1,MATCH("Cours EUR",'Inventaire M'!#REF!,0)))</f>
        <v>#REF!</v>
      </c>
      <c r="F157" s="175" t="e">
        <f>IF(B157="-","",IF(ISERROR(INDEX('Inventaire M-1'!$A$2:$AZ$9320,MATCH(B157,'Inventaire M-1'!$A:$A,0)-1,MATCH("Cours EUR",'Inventaire M-1'!#REF!,0))),"Buy",INDEX('Inventaire M-1'!$A$2:$AZ$9320,MATCH(B157,'Inventaire M-1'!$A:$A,0)-1,MATCH("Cours EUR",'Inventaire M-1'!#REF!,0))))</f>
        <v>#REF!</v>
      </c>
      <c r="G157" s="175"/>
      <c r="H157" s="156" t="e">
        <f>IF(B157="-","",INDEX('Inventaire M'!$A$2:$AW$9305,MATCH(B157,'Inventaire M'!$A:$A,0)-1,MATCH("quantite",'Inventaire M'!#REF!,0)))</f>
        <v>#REF!</v>
      </c>
      <c r="I157" s="156" t="e">
        <f>IF(C157="-","",IF(ISERROR(INDEX('Inventaire M-1'!$A$2:$AZ$9320,MATCH(B157,'Inventaire M-1'!$A:$A,0)-1,MATCH("quantite",'Inventaire M-1'!#REF!,0))),"Buy",INDEX('Inventaire M-1'!$A$2:$AZ$9320,MATCH(B157,'Inventaire M-1'!$A:$A,0)-1,MATCH("quantite",'Inventaire M-1'!#REF!,0))))</f>
        <v>#REF!</v>
      </c>
      <c r="J157" s="175"/>
      <c r="K157" s="155" t="e">
        <f>IF(B157="-","",INDEX('Inventaire M'!$A$2:$AW$9305,MATCH(B157,'Inventaire M'!$A:$A,0)-1,MATCH("poids",'Inventaire M'!#REF!,0)))</f>
        <v>#REF!</v>
      </c>
      <c r="L157" s="155" t="e">
        <f>IF(B157="-","",IF(ISERROR(INDEX('Inventaire M-1'!$A$2:$AZ$9320,MATCH(B157,'Inventaire M-1'!$A:$A,0)-1,MATCH("poids",'Inventaire M-1'!#REF!,0))),"Buy",INDEX('Inventaire M-1'!$A$2:$AZ$9320,MATCH(B157,'Inventaire M-1'!$A:$A,0)-1,MATCH("poids",'Inventaire M-1'!#REF!,0))))</f>
        <v>#REF!</v>
      </c>
      <c r="M157" s="175"/>
      <c r="N157" s="157" t="str">
        <f t="shared" si="12"/>
        <v>0</v>
      </c>
      <c r="O157" s="98" t="str">
        <f t="shared" si="13"/>
        <v/>
      </c>
      <c r="P157" s="80" t="e">
        <f t="shared" si="14"/>
        <v>#REF!</v>
      </c>
      <c r="Q157" s="75">
        <v>1.33E-8</v>
      </c>
      <c r="R157" s="175" t="e">
        <f>IF(OR('Inventaire M-1'!#REF!="Dispo/Liquidité Investie",'Inventaire M-1'!#REF!="Option/Future",'Inventaire M-1'!#REF!="TCN",'Inventaire M-1'!#REF!=""),"-",'Inventaire M-1'!#REF!)</f>
        <v>#REF!</v>
      </c>
      <c r="S157" s="175" t="e">
        <f>IF(OR('Inventaire M-1'!#REF!="Dispo/Liquidité Investie",'Inventaire M-1'!#REF!="Option/Future",'Inventaire M-1'!#REF!="TCN",'Inventaire M-1'!#REF!=""),"-",'Inventaire M-1'!#REF!)</f>
        <v>#REF!</v>
      </c>
      <c r="T157" s="175"/>
      <c r="U157" s="175" t="e">
        <f>IF(R157="-","",INDEX('Inventaire M-1'!$A$2:$AG$9334,MATCH(R157,'Inventaire M-1'!$A:$A,0)-1,MATCH("Cours EUR",'Inventaire M-1'!#REF!,0)))</f>
        <v>#REF!</v>
      </c>
      <c r="V157" s="175" t="e">
        <f>IF(R157="-","",IF(ISERROR(INDEX('Inventaire M'!$A$2:$AD$9319,MATCH(R157,'Inventaire M'!$A:$A,0)-1,MATCH("Cours EUR",'Inventaire M'!#REF!,0))),"Sell",INDEX('Inventaire M'!$A$2:$AD$9319,MATCH(R157,'Inventaire M'!$A:$A,0)-1,MATCH("Cours EUR",'Inventaire M'!#REF!,0))))</f>
        <v>#REF!</v>
      </c>
      <c r="W157" s="175"/>
      <c r="X157" s="156" t="e">
        <f>IF(R157="-","",INDEX('Inventaire M-1'!$A$2:$AG$9334,MATCH(R157,'Inventaire M-1'!$A:$A,0)-1,MATCH("quantite",'Inventaire M-1'!#REF!,0)))</f>
        <v>#REF!</v>
      </c>
      <c r="Y157" s="156" t="e">
        <f>IF(S157="-","",IF(ISERROR(INDEX('Inventaire M'!$A$2:$AD$9319,MATCH(R157,'Inventaire M'!$A:$A,0)-1,MATCH("quantite",'Inventaire M'!#REF!,0))),"Sell",INDEX('Inventaire M'!$A$2:$AD$9319,MATCH(R157,'Inventaire M'!$A:$A,0)-1,MATCH("quantite",'Inventaire M'!#REF!,0))))</f>
        <v>#REF!</v>
      </c>
      <c r="Z157" s="175"/>
      <c r="AA157" s="155" t="e">
        <f>IF(R157="-","",INDEX('Inventaire M-1'!$A$2:$AG$9334,MATCH(R157,'Inventaire M-1'!$A:$A,0)-1,MATCH("poids",'Inventaire M-1'!#REF!,0)))</f>
        <v>#REF!</v>
      </c>
      <c r="AB157" s="155" t="e">
        <f>IF(R157="-","",IF(ISERROR(INDEX('Inventaire M'!$A$2:$AD$9319,MATCH(R157,'Inventaire M'!$A:$A,0)-1,MATCH("poids",'Inventaire M'!#REF!,0))),"Sell",INDEX('Inventaire M'!$A$2:$AD$9319,MATCH(R157,'Inventaire M'!$A:$A,0)-1,MATCH("poids",'Inventaire M'!#REF!,0))))</f>
        <v>#REF!</v>
      </c>
      <c r="AC157" s="175"/>
      <c r="AD157" s="157" t="str">
        <f t="shared" si="15"/>
        <v>0</v>
      </c>
      <c r="AE157" s="98" t="str">
        <f t="shared" si="16"/>
        <v/>
      </c>
      <c r="AF157" s="80" t="e">
        <f t="shared" si="17"/>
        <v>#REF!</v>
      </c>
    </row>
    <row r="158" spans="2:32" outlineLevel="1">
      <c r="B158" s="175" t="e">
        <f>IF(OR('Inventaire M'!#REF!="Dispo/Liquidité Investie",'Inventaire M'!#REF!="Option/Future",'Inventaire M'!#REF!="TCN",'Inventaire M'!#REF!=""),"-",'Inventaire M'!#REF!)</f>
        <v>#REF!</v>
      </c>
      <c r="C158" s="175" t="e">
        <f>IF(OR('Inventaire M'!#REF!="Dispo/Liquidité Investie",'Inventaire M'!#REF!="Option/Future",'Inventaire M'!#REF!="TCN",'Inventaire M'!#REF!=""),"-",'Inventaire M'!#REF!)</f>
        <v>#REF!</v>
      </c>
      <c r="D158" s="175"/>
      <c r="E158" s="175" t="e">
        <f>IF(B158="-","",INDEX('Inventaire M'!$A$2:$AW$9305,MATCH(B158,'Inventaire M'!$A:$A,0)-1,MATCH("Cours EUR",'Inventaire M'!#REF!,0)))</f>
        <v>#REF!</v>
      </c>
      <c r="F158" s="175" t="e">
        <f>IF(B158="-","",IF(ISERROR(INDEX('Inventaire M-1'!$A$2:$AZ$9320,MATCH(B158,'Inventaire M-1'!$A:$A,0)-1,MATCH("Cours EUR",'Inventaire M-1'!#REF!,0))),"Buy",INDEX('Inventaire M-1'!$A$2:$AZ$9320,MATCH(B158,'Inventaire M-1'!$A:$A,0)-1,MATCH("Cours EUR",'Inventaire M-1'!#REF!,0))))</f>
        <v>#REF!</v>
      </c>
      <c r="G158" s="175"/>
      <c r="H158" s="156" t="e">
        <f>IF(B158="-","",INDEX('Inventaire M'!$A$2:$AW$9305,MATCH(B158,'Inventaire M'!$A:$A,0)-1,MATCH("quantite",'Inventaire M'!#REF!,0)))</f>
        <v>#REF!</v>
      </c>
      <c r="I158" s="156" t="e">
        <f>IF(C158="-","",IF(ISERROR(INDEX('Inventaire M-1'!$A$2:$AZ$9320,MATCH(B158,'Inventaire M-1'!$A:$A,0)-1,MATCH("quantite",'Inventaire M-1'!#REF!,0))),"Buy",INDEX('Inventaire M-1'!$A$2:$AZ$9320,MATCH(B158,'Inventaire M-1'!$A:$A,0)-1,MATCH("quantite",'Inventaire M-1'!#REF!,0))))</f>
        <v>#REF!</v>
      </c>
      <c r="J158" s="175"/>
      <c r="K158" s="155" t="e">
        <f>IF(B158="-","",INDEX('Inventaire M'!$A$2:$AW$9305,MATCH(B158,'Inventaire M'!$A:$A,0)-1,MATCH("poids",'Inventaire M'!#REF!,0)))</f>
        <v>#REF!</v>
      </c>
      <c r="L158" s="155" t="e">
        <f>IF(B158="-","",IF(ISERROR(INDEX('Inventaire M-1'!$A$2:$AZ$9320,MATCH(B158,'Inventaire M-1'!$A:$A,0)-1,MATCH("poids",'Inventaire M-1'!#REF!,0))),"Buy",INDEX('Inventaire M-1'!$A$2:$AZ$9320,MATCH(B158,'Inventaire M-1'!$A:$A,0)-1,MATCH("poids",'Inventaire M-1'!#REF!,0))))</f>
        <v>#REF!</v>
      </c>
      <c r="M158" s="175"/>
      <c r="N158" s="157" t="str">
        <f t="shared" si="12"/>
        <v>0</v>
      </c>
      <c r="O158" s="98" t="str">
        <f t="shared" si="13"/>
        <v/>
      </c>
      <c r="P158" s="80" t="e">
        <f t="shared" si="14"/>
        <v>#REF!</v>
      </c>
      <c r="Q158" s="75">
        <v>1.3399999999999999E-8</v>
      </c>
      <c r="R158" s="175" t="e">
        <f>IF(OR('Inventaire M-1'!#REF!="Dispo/Liquidité Investie",'Inventaire M-1'!#REF!="Option/Future",'Inventaire M-1'!#REF!="TCN",'Inventaire M-1'!#REF!=""),"-",'Inventaire M-1'!#REF!)</f>
        <v>#REF!</v>
      </c>
      <c r="S158" s="175" t="e">
        <f>IF(OR('Inventaire M-1'!#REF!="Dispo/Liquidité Investie",'Inventaire M-1'!#REF!="Option/Future",'Inventaire M-1'!#REF!="TCN",'Inventaire M-1'!#REF!=""),"-",'Inventaire M-1'!#REF!)</f>
        <v>#REF!</v>
      </c>
      <c r="T158" s="175"/>
      <c r="U158" s="175" t="e">
        <f>IF(R158="-","",INDEX('Inventaire M-1'!$A$2:$AG$9334,MATCH(R158,'Inventaire M-1'!$A:$A,0)-1,MATCH("Cours EUR",'Inventaire M-1'!#REF!,0)))</f>
        <v>#REF!</v>
      </c>
      <c r="V158" s="175" t="e">
        <f>IF(R158="-","",IF(ISERROR(INDEX('Inventaire M'!$A$2:$AD$9319,MATCH(R158,'Inventaire M'!$A:$A,0)-1,MATCH("Cours EUR",'Inventaire M'!#REF!,0))),"Sell",INDEX('Inventaire M'!$A$2:$AD$9319,MATCH(R158,'Inventaire M'!$A:$A,0)-1,MATCH("Cours EUR",'Inventaire M'!#REF!,0))))</f>
        <v>#REF!</v>
      </c>
      <c r="W158" s="175"/>
      <c r="X158" s="156" t="e">
        <f>IF(R158="-","",INDEX('Inventaire M-1'!$A$2:$AG$9334,MATCH(R158,'Inventaire M-1'!$A:$A,0)-1,MATCH("quantite",'Inventaire M-1'!#REF!,0)))</f>
        <v>#REF!</v>
      </c>
      <c r="Y158" s="156" t="e">
        <f>IF(S158="-","",IF(ISERROR(INDEX('Inventaire M'!$A$2:$AD$9319,MATCH(R158,'Inventaire M'!$A:$A,0)-1,MATCH("quantite",'Inventaire M'!#REF!,0))),"Sell",INDEX('Inventaire M'!$A$2:$AD$9319,MATCH(R158,'Inventaire M'!$A:$A,0)-1,MATCH("quantite",'Inventaire M'!#REF!,0))))</f>
        <v>#REF!</v>
      </c>
      <c r="Z158" s="175"/>
      <c r="AA158" s="155" t="e">
        <f>IF(R158="-","",INDEX('Inventaire M-1'!$A$2:$AG$9334,MATCH(R158,'Inventaire M-1'!$A:$A,0)-1,MATCH("poids",'Inventaire M-1'!#REF!,0)))</f>
        <v>#REF!</v>
      </c>
      <c r="AB158" s="155" t="e">
        <f>IF(R158="-","",IF(ISERROR(INDEX('Inventaire M'!$A$2:$AD$9319,MATCH(R158,'Inventaire M'!$A:$A,0)-1,MATCH("poids",'Inventaire M'!#REF!,0))),"Sell",INDEX('Inventaire M'!$A$2:$AD$9319,MATCH(R158,'Inventaire M'!$A:$A,0)-1,MATCH("poids",'Inventaire M'!#REF!,0))))</f>
        <v>#REF!</v>
      </c>
      <c r="AC158" s="175"/>
      <c r="AD158" s="157" t="str">
        <f t="shared" si="15"/>
        <v>0</v>
      </c>
      <c r="AE158" s="98" t="str">
        <f t="shared" si="16"/>
        <v/>
      </c>
      <c r="AF158" s="80" t="e">
        <f t="shared" si="17"/>
        <v>#REF!</v>
      </c>
    </row>
    <row r="159" spans="2:32" outlineLevel="1">
      <c r="B159" s="175" t="e">
        <f>IF(OR('Inventaire M'!#REF!="Dispo/Liquidité Investie",'Inventaire M'!#REF!="Option/Future",'Inventaire M'!#REF!="TCN",'Inventaire M'!#REF!=""),"-",'Inventaire M'!#REF!)</f>
        <v>#REF!</v>
      </c>
      <c r="C159" s="175" t="e">
        <f>IF(OR('Inventaire M'!#REF!="Dispo/Liquidité Investie",'Inventaire M'!#REF!="Option/Future",'Inventaire M'!#REF!="TCN",'Inventaire M'!#REF!=""),"-",'Inventaire M'!#REF!)</f>
        <v>#REF!</v>
      </c>
      <c r="D159" s="175"/>
      <c r="E159" s="175" t="e">
        <f>IF(B159="-","",INDEX('Inventaire M'!$A$2:$AW$9305,MATCH(B159,'Inventaire M'!$A:$A,0)-1,MATCH("Cours EUR",'Inventaire M'!#REF!,0)))</f>
        <v>#REF!</v>
      </c>
      <c r="F159" s="175" t="e">
        <f>IF(B159="-","",IF(ISERROR(INDEX('Inventaire M-1'!$A$2:$AZ$9320,MATCH(B159,'Inventaire M-1'!$A:$A,0)-1,MATCH("Cours EUR",'Inventaire M-1'!#REF!,0))),"Buy",INDEX('Inventaire M-1'!$A$2:$AZ$9320,MATCH(B159,'Inventaire M-1'!$A:$A,0)-1,MATCH("Cours EUR",'Inventaire M-1'!#REF!,0))))</f>
        <v>#REF!</v>
      </c>
      <c r="G159" s="175"/>
      <c r="H159" s="156" t="e">
        <f>IF(B159="-","",INDEX('Inventaire M'!$A$2:$AW$9305,MATCH(B159,'Inventaire M'!$A:$A,0)-1,MATCH("quantite",'Inventaire M'!#REF!,0)))</f>
        <v>#REF!</v>
      </c>
      <c r="I159" s="156" t="e">
        <f>IF(C159="-","",IF(ISERROR(INDEX('Inventaire M-1'!$A$2:$AZ$9320,MATCH(B159,'Inventaire M-1'!$A:$A,0)-1,MATCH("quantite",'Inventaire M-1'!#REF!,0))),"Buy",INDEX('Inventaire M-1'!$A$2:$AZ$9320,MATCH(B159,'Inventaire M-1'!$A:$A,0)-1,MATCH("quantite",'Inventaire M-1'!#REF!,0))))</f>
        <v>#REF!</v>
      </c>
      <c r="J159" s="175"/>
      <c r="K159" s="155" t="e">
        <f>IF(B159="-","",INDEX('Inventaire M'!$A$2:$AW$9305,MATCH(B159,'Inventaire M'!$A:$A,0)-1,MATCH("poids",'Inventaire M'!#REF!,0)))</f>
        <v>#REF!</v>
      </c>
      <c r="L159" s="155" t="e">
        <f>IF(B159="-","",IF(ISERROR(INDEX('Inventaire M-1'!$A$2:$AZ$9320,MATCH(B159,'Inventaire M-1'!$A:$A,0)-1,MATCH("poids",'Inventaire M-1'!#REF!,0))),"Buy",INDEX('Inventaire M-1'!$A$2:$AZ$9320,MATCH(B159,'Inventaire M-1'!$A:$A,0)-1,MATCH("poids",'Inventaire M-1'!#REF!,0))))</f>
        <v>#REF!</v>
      </c>
      <c r="M159" s="175"/>
      <c r="N159" s="157" t="str">
        <f t="shared" si="12"/>
        <v>0</v>
      </c>
      <c r="O159" s="98" t="str">
        <f t="shared" si="13"/>
        <v/>
      </c>
      <c r="P159" s="80" t="e">
        <f t="shared" si="14"/>
        <v>#REF!</v>
      </c>
      <c r="Q159" s="75">
        <v>1.35E-8</v>
      </c>
      <c r="R159" s="175" t="e">
        <f>IF(OR('Inventaire M-1'!#REF!="Dispo/Liquidité Investie",'Inventaire M-1'!#REF!="Option/Future",'Inventaire M-1'!#REF!="TCN",'Inventaire M-1'!#REF!=""),"-",'Inventaire M-1'!#REF!)</f>
        <v>#REF!</v>
      </c>
      <c r="S159" s="175" t="e">
        <f>IF(OR('Inventaire M-1'!#REF!="Dispo/Liquidité Investie",'Inventaire M-1'!#REF!="Option/Future",'Inventaire M-1'!#REF!="TCN",'Inventaire M-1'!#REF!=""),"-",'Inventaire M-1'!#REF!)</f>
        <v>#REF!</v>
      </c>
      <c r="T159" s="175"/>
      <c r="U159" s="175" t="e">
        <f>IF(R159="-","",INDEX('Inventaire M-1'!$A$2:$AG$9334,MATCH(R159,'Inventaire M-1'!$A:$A,0)-1,MATCH("Cours EUR",'Inventaire M-1'!#REF!,0)))</f>
        <v>#REF!</v>
      </c>
      <c r="V159" s="175" t="e">
        <f>IF(R159="-","",IF(ISERROR(INDEX('Inventaire M'!$A$2:$AD$9319,MATCH(R159,'Inventaire M'!$A:$A,0)-1,MATCH("Cours EUR",'Inventaire M'!#REF!,0))),"Sell",INDEX('Inventaire M'!$A$2:$AD$9319,MATCH(R159,'Inventaire M'!$A:$A,0)-1,MATCH("Cours EUR",'Inventaire M'!#REF!,0))))</f>
        <v>#REF!</v>
      </c>
      <c r="W159" s="175"/>
      <c r="X159" s="156" t="e">
        <f>IF(R159="-","",INDEX('Inventaire M-1'!$A$2:$AG$9334,MATCH(R159,'Inventaire M-1'!$A:$A,0)-1,MATCH("quantite",'Inventaire M-1'!#REF!,0)))</f>
        <v>#REF!</v>
      </c>
      <c r="Y159" s="156" t="e">
        <f>IF(S159="-","",IF(ISERROR(INDEX('Inventaire M'!$A$2:$AD$9319,MATCH(R159,'Inventaire M'!$A:$A,0)-1,MATCH("quantite",'Inventaire M'!#REF!,0))),"Sell",INDEX('Inventaire M'!$A$2:$AD$9319,MATCH(R159,'Inventaire M'!$A:$A,0)-1,MATCH("quantite",'Inventaire M'!#REF!,0))))</f>
        <v>#REF!</v>
      </c>
      <c r="Z159" s="175"/>
      <c r="AA159" s="155" t="e">
        <f>IF(R159="-","",INDEX('Inventaire M-1'!$A$2:$AG$9334,MATCH(R159,'Inventaire M-1'!$A:$A,0)-1,MATCH("poids",'Inventaire M-1'!#REF!,0)))</f>
        <v>#REF!</v>
      </c>
      <c r="AB159" s="155" t="e">
        <f>IF(R159="-","",IF(ISERROR(INDEX('Inventaire M'!$A$2:$AD$9319,MATCH(R159,'Inventaire M'!$A:$A,0)-1,MATCH("poids",'Inventaire M'!#REF!,0))),"Sell",INDEX('Inventaire M'!$A$2:$AD$9319,MATCH(R159,'Inventaire M'!$A:$A,0)-1,MATCH("poids",'Inventaire M'!#REF!,0))))</f>
        <v>#REF!</v>
      </c>
      <c r="AC159" s="175"/>
      <c r="AD159" s="157" t="str">
        <f t="shared" si="15"/>
        <v>0</v>
      </c>
      <c r="AE159" s="98" t="str">
        <f t="shared" si="16"/>
        <v/>
      </c>
      <c r="AF159" s="80" t="e">
        <f t="shared" si="17"/>
        <v>#REF!</v>
      </c>
    </row>
    <row r="160" spans="2:32" outlineLevel="1">
      <c r="B160" s="175" t="e">
        <f>IF(OR('Inventaire M'!#REF!="Dispo/Liquidité Investie",'Inventaire M'!#REF!="Option/Future",'Inventaire M'!#REF!="TCN",'Inventaire M'!#REF!=""),"-",'Inventaire M'!#REF!)</f>
        <v>#REF!</v>
      </c>
      <c r="C160" s="175" t="e">
        <f>IF(OR('Inventaire M'!#REF!="Dispo/Liquidité Investie",'Inventaire M'!#REF!="Option/Future",'Inventaire M'!#REF!="TCN",'Inventaire M'!#REF!=""),"-",'Inventaire M'!#REF!)</f>
        <v>#REF!</v>
      </c>
      <c r="D160" s="175"/>
      <c r="E160" s="175" t="e">
        <f>IF(B160="-","",INDEX('Inventaire M'!$A$2:$AW$9305,MATCH(B160,'Inventaire M'!$A:$A,0)-1,MATCH("Cours EUR",'Inventaire M'!#REF!,0)))</f>
        <v>#REF!</v>
      </c>
      <c r="F160" s="175" t="e">
        <f>IF(B160="-","",IF(ISERROR(INDEX('Inventaire M-1'!$A$2:$AZ$9320,MATCH(B160,'Inventaire M-1'!$A:$A,0)-1,MATCH("Cours EUR",'Inventaire M-1'!#REF!,0))),"Buy",INDEX('Inventaire M-1'!$A$2:$AZ$9320,MATCH(B160,'Inventaire M-1'!$A:$A,0)-1,MATCH("Cours EUR",'Inventaire M-1'!#REF!,0))))</f>
        <v>#REF!</v>
      </c>
      <c r="G160" s="175"/>
      <c r="H160" s="156" t="e">
        <f>IF(B160="-","",INDEX('Inventaire M'!$A$2:$AW$9305,MATCH(B160,'Inventaire M'!$A:$A,0)-1,MATCH("quantite",'Inventaire M'!#REF!,0)))</f>
        <v>#REF!</v>
      </c>
      <c r="I160" s="156" t="e">
        <f>IF(C160="-","",IF(ISERROR(INDEX('Inventaire M-1'!$A$2:$AZ$9320,MATCH(B160,'Inventaire M-1'!$A:$A,0)-1,MATCH("quantite",'Inventaire M-1'!#REF!,0))),"Buy",INDEX('Inventaire M-1'!$A$2:$AZ$9320,MATCH(B160,'Inventaire M-1'!$A:$A,0)-1,MATCH("quantite",'Inventaire M-1'!#REF!,0))))</f>
        <v>#REF!</v>
      </c>
      <c r="J160" s="175"/>
      <c r="K160" s="155" t="e">
        <f>IF(B160="-","",INDEX('Inventaire M'!$A$2:$AW$9305,MATCH(B160,'Inventaire M'!$A:$A,0)-1,MATCH("poids",'Inventaire M'!#REF!,0)))</f>
        <v>#REF!</v>
      </c>
      <c r="L160" s="155" t="e">
        <f>IF(B160="-","",IF(ISERROR(INDEX('Inventaire M-1'!$A$2:$AZ$9320,MATCH(B160,'Inventaire M-1'!$A:$A,0)-1,MATCH("poids",'Inventaire M-1'!#REF!,0))),"Buy",INDEX('Inventaire M-1'!$A$2:$AZ$9320,MATCH(B160,'Inventaire M-1'!$A:$A,0)-1,MATCH("poids",'Inventaire M-1'!#REF!,0))))</f>
        <v>#REF!</v>
      </c>
      <c r="M160" s="175"/>
      <c r="N160" s="157" t="str">
        <f t="shared" si="12"/>
        <v>0</v>
      </c>
      <c r="O160" s="98" t="str">
        <f t="shared" si="13"/>
        <v/>
      </c>
      <c r="P160" s="80" t="e">
        <f t="shared" si="14"/>
        <v>#REF!</v>
      </c>
      <c r="Q160" s="75">
        <v>1.3599999999999999E-8</v>
      </c>
      <c r="R160" s="175" t="e">
        <f>IF(OR('Inventaire M-1'!#REF!="Dispo/Liquidité Investie",'Inventaire M-1'!#REF!="Option/Future",'Inventaire M-1'!#REF!="TCN",'Inventaire M-1'!#REF!=""),"-",'Inventaire M-1'!#REF!)</f>
        <v>#REF!</v>
      </c>
      <c r="S160" s="175" t="e">
        <f>IF(OR('Inventaire M-1'!#REF!="Dispo/Liquidité Investie",'Inventaire M-1'!#REF!="Option/Future",'Inventaire M-1'!#REF!="TCN",'Inventaire M-1'!#REF!=""),"-",'Inventaire M-1'!#REF!)</f>
        <v>#REF!</v>
      </c>
      <c r="T160" s="175"/>
      <c r="U160" s="175" t="e">
        <f>IF(R160="-","",INDEX('Inventaire M-1'!$A$2:$AG$9334,MATCH(R160,'Inventaire M-1'!$A:$A,0)-1,MATCH("Cours EUR",'Inventaire M-1'!#REF!,0)))</f>
        <v>#REF!</v>
      </c>
      <c r="V160" s="175" t="e">
        <f>IF(R160="-","",IF(ISERROR(INDEX('Inventaire M'!$A$2:$AD$9319,MATCH(R160,'Inventaire M'!$A:$A,0)-1,MATCH("Cours EUR",'Inventaire M'!#REF!,0))),"Sell",INDEX('Inventaire M'!$A$2:$AD$9319,MATCH(R160,'Inventaire M'!$A:$A,0)-1,MATCH("Cours EUR",'Inventaire M'!#REF!,0))))</f>
        <v>#REF!</v>
      </c>
      <c r="W160" s="175"/>
      <c r="X160" s="156" t="e">
        <f>IF(R160="-","",INDEX('Inventaire M-1'!$A$2:$AG$9334,MATCH(R160,'Inventaire M-1'!$A:$A,0)-1,MATCH("quantite",'Inventaire M-1'!#REF!,0)))</f>
        <v>#REF!</v>
      </c>
      <c r="Y160" s="156" t="e">
        <f>IF(S160="-","",IF(ISERROR(INDEX('Inventaire M'!$A$2:$AD$9319,MATCH(R160,'Inventaire M'!$A:$A,0)-1,MATCH("quantite",'Inventaire M'!#REF!,0))),"Sell",INDEX('Inventaire M'!$A$2:$AD$9319,MATCH(R160,'Inventaire M'!$A:$A,0)-1,MATCH("quantite",'Inventaire M'!#REF!,0))))</f>
        <v>#REF!</v>
      </c>
      <c r="Z160" s="175"/>
      <c r="AA160" s="155" t="e">
        <f>IF(R160="-","",INDEX('Inventaire M-1'!$A$2:$AG$9334,MATCH(R160,'Inventaire M-1'!$A:$A,0)-1,MATCH("poids",'Inventaire M-1'!#REF!,0)))</f>
        <v>#REF!</v>
      </c>
      <c r="AB160" s="155" t="e">
        <f>IF(R160="-","",IF(ISERROR(INDEX('Inventaire M'!$A$2:$AD$9319,MATCH(R160,'Inventaire M'!$A:$A,0)-1,MATCH("poids",'Inventaire M'!#REF!,0))),"Sell",INDEX('Inventaire M'!$A$2:$AD$9319,MATCH(R160,'Inventaire M'!$A:$A,0)-1,MATCH("poids",'Inventaire M'!#REF!,0))))</f>
        <v>#REF!</v>
      </c>
      <c r="AC160" s="175"/>
      <c r="AD160" s="157" t="str">
        <f t="shared" si="15"/>
        <v>0</v>
      </c>
      <c r="AE160" s="98" t="str">
        <f t="shared" si="16"/>
        <v/>
      </c>
      <c r="AF160" s="80" t="e">
        <f t="shared" si="17"/>
        <v>#REF!</v>
      </c>
    </row>
    <row r="161" spans="2:32" outlineLevel="1">
      <c r="B161" s="175" t="e">
        <f>IF(OR('Inventaire M'!#REF!="Dispo/Liquidité Investie",'Inventaire M'!#REF!="Option/Future",'Inventaire M'!#REF!="TCN",'Inventaire M'!#REF!=""),"-",'Inventaire M'!#REF!)</f>
        <v>#REF!</v>
      </c>
      <c r="C161" s="175" t="e">
        <f>IF(OR('Inventaire M'!#REF!="Dispo/Liquidité Investie",'Inventaire M'!#REF!="Option/Future",'Inventaire M'!#REF!="TCN",'Inventaire M'!#REF!=""),"-",'Inventaire M'!#REF!)</f>
        <v>#REF!</v>
      </c>
      <c r="D161" s="175"/>
      <c r="E161" s="175" t="e">
        <f>IF(B161="-","",INDEX('Inventaire M'!$A$2:$AW$9305,MATCH(B161,'Inventaire M'!$A:$A,0)-1,MATCH("Cours EUR",'Inventaire M'!#REF!,0)))</f>
        <v>#REF!</v>
      </c>
      <c r="F161" s="175" t="e">
        <f>IF(B161="-","",IF(ISERROR(INDEX('Inventaire M-1'!$A$2:$AZ$9320,MATCH(B161,'Inventaire M-1'!$A:$A,0)-1,MATCH("Cours EUR",'Inventaire M-1'!#REF!,0))),"Buy",INDEX('Inventaire M-1'!$A$2:$AZ$9320,MATCH(B161,'Inventaire M-1'!$A:$A,0)-1,MATCH("Cours EUR",'Inventaire M-1'!#REF!,0))))</f>
        <v>#REF!</v>
      </c>
      <c r="G161" s="175"/>
      <c r="H161" s="156" t="e">
        <f>IF(B161="-","",INDEX('Inventaire M'!$A$2:$AW$9305,MATCH(B161,'Inventaire M'!$A:$A,0)-1,MATCH("quantite",'Inventaire M'!#REF!,0)))</f>
        <v>#REF!</v>
      </c>
      <c r="I161" s="156" t="e">
        <f>IF(C161="-","",IF(ISERROR(INDEX('Inventaire M-1'!$A$2:$AZ$9320,MATCH(B161,'Inventaire M-1'!$A:$A,0)-1,MATCH("quantite",'Inventaire M-1'!#REF!,0))),"Buy",INDEX('Inventaire M-1'!$A$2:$AZ$9320,MATCH(B161,'Inventaire M-1'!$A:$A,0)-1,MATCH("quantite",'Inventaire M-1'!#REF!,0))))</f>
        <v>#REF!</v>
      </c>
      <c r="J161" s="175"/>
      <c r="K161" s="155" t="e">
        <f>IF(B161="-","",INDEX('Inventaire M'!$A$2:$AW$9305,MATCH(B161,'Inventaire M'!$A:$A,0)-1,MATCH("poids",'Inventaire M'!#REF!,0)))</f>
        <v>#REF!</v>
      </c>
      <c r="L161" s="155" t="e">
        <f>IF(B161="-","",IF(ISERROR(INDEX('Inventaire M-1'!$A$2:$AZ$9320,MATCH(B161,'Inventaire M-1'!$A:$A,0)-1,MATCH("poids",'Inventaire M-1'!#REF!,0))),"Buy",INDEX('Inventaire M-1'!$A$2:$AZ$9320,MATCH(B161,'Inventaire M-1'!$A:$A,0)-1,MATCH("poids",'Inventaire M-1'!#REF!,0))))</f>
        <v>#REF!</v>
      </c>
      <c r="M161" s="175"/>
      <c r="N161" s="157" t="str">
        <f t="shared" si="12"/>
        <v>0</v>
      </c>
      <c r="O161" s="98" t="str">
        <f t="shared" si="13"/>
        <v/>
      </c>
      <c r="P161" s="80" t="e">
        <f t="shared" si="14"/>
        <v>#REF!</v>
      </c>
      <c r="Q161" s="75">
        <v>1.37E-8</v>
      </c>
      <c r="R161" s="175" t="e">
        <f>IF(OR('Inventaire M-1'!#REF!="Dispo/Liquidité Investie",'Inventaire M-1'!#REF!="Option/Future",'Inventaire M-1'!#REF!="TCN",'Inventaire M-1'!#REF!=""),"-",'Inventaire M-1'!#REF!)</f>
        <v>#REF!</v>
      </c>
      <c r="S161" s="175" t="e">
        <f>IF(OR('Inventaire M-1'!#REF!="Dispo/Liquidité Investie",'Inventaire M-1'!#REF!="Option/Future",'Inventaire M-1'!#REF!="TCN",'Inventaire M-1'!#REF!=""),"-",'Inventaire M-1'!#REF!)</f>
        <v>#REF!</v>
      </c>
      <c r="T161" s="175"/>
      <c r="U161" s="175" t="e">
        <f>IF(R161="-","",INDEX('Inventaire M-1'!$A$2:$AG$9334,MATCH(R161,'Inventaire M-1'!$A:$A,0)-1,MATCH("Cours EUR",'Inventaire M-1'!#REF!,0)))</f>
        <v>#REF!</v>
      </c>
      <c r="V161" s="175" t="e">
        <f>IF(R161="-","",IF(ISERROR(INDEX('Inventaire M'!$A$2:$AD$9319,MATCH(R161,'Inventaire M'!$A:$A,0)-1,MATCH("Cours EUR",'Inventaire M'!#REF!,0))),"Sell",INDEX('Inventaire M'!$A$2:$AD$9319,MATCH(R161,'Inventaire M'!$A:$A,0)-1,MATCH("Cours EUR",'Inventaire M'!#REF!,0))))</f>
        <v>#REF!</v>
      </c>
      <c r="W161" s="175"/>
      <c r="X161" s="156" t="e">
        <f>IF(R161="-","",INDEX('Inventaire M-1'!$A$2:$AG$9334,MATCH(R161,'Inventaire M-1'!$A:$A,0)-1,MATCH("quantite",'Inventaire M-1'!#REF!,0)))</f>
        <v>#REF!</v>
      </c>
      <c r="Y161" s="156" t="e">
        <f>IF(S161="-","",IF(ISERROR(INDEX('Inventaire M'!$A$2:$AD$9319,MATCH(R161,'Inventaire M'!$A:$A,0)-1,MATCH("quantite",'Inventaire M'!#REF!,0))),"Sell",INDEX('Inventaire M'!$A$2:$AD$9319,MATCH(R161,'Inventaire M'!$A:$A,0)-1,MATCH("quantite",'Inventaire M'!#REF!,0))))</f>
        <v>#REF!</v>
      </c>
      <c r="Z161" s="175"/>
      <c r="AA161" s="155" t="e">
        <f>IF(R161="-","",INDEX('Inventaire M-1'!$A$2:$AG$9334,MATCH(R161,'Inventaire M-1'!$A:$A,0)-1,MATCH("poids",'Inventaire M-1'!#REF!,0)))</f>
        <v>#REF!</v>
      </c>
      <c r="AB161" s="155" t="e">
        <f>IF(R161="-","",IF(ISERROR(INDEX('Inventaire M'!$A$2:$AD$9319,MATCH(R161,'Inventaire M'!$A:$A,0)-1,MATCH("poids",'Inventaire M'!#REF!,0))),"Sell",INDEX('Inventaire M'!$A$2:$AD$9319,MATCH(R161,'Inventaire M'!$A:$A,0)-1,MATCH("poids",'Inventaire M'!#REF!,0))))</f>
        <v>#REF!</v>
      </c>
      <c r="AC161" s="175"/>
      <c r="AD161" s="157" t="str">
        <f t="shared" si="15"/>
        <v>0</v>
      </c>
      <c r="AE161" s="98" t="str">
        <f t="shared" si="16"/>
        <v/>
      </c>
      <c r="AF161" s="80" t="e">
        <f t="shared" si="17"/>
        <v>#REF!</v>
      </c>
    </row>
    <row r="162" spans="2:32" outlineLevel="1">
      <c r="B162" s="175" t="e">
        <f>IF(OR('Inventaire M'!#REF!="Dispo/Liquidité Investie",'Inventaire M'!#REF!="Option/Future",'Inventaire M'!#REF!="TCN",'Inventaire M'!#REF!=""),"-",'Inventaire M'!#REF!)</f>
        <v>#REF!</v>
      </c>
      <c r="C162" s="175" t="e">
        <f>IF(OR('Inventaire M'!#REF!="Dispo/Liquidité Investie",'Inventaire M'!#REF!="Option/Future",'Inventaire M'!#REF!="TCN",'Inventaire M'!#REF!=""),"-",'Inventaire M'!#REF!)</f>
        <v>#REF!</v>
      </c>
      <c r="D162" s="175"/>
      <c r="E162" s="175" t="e">
        <f>IF(B162="-","",INDEX('Inventaire M'!$A$2:$AW$9305,MATCH(B162,'Inventaire M'!$A:$A,0)-1,MATCH("Cours EUR",'Inventaire M'!#REF!,0)))</f>
        <v>#REF!</v>
      </c>
      <c r="F162" s="175" t="e">
        <f>IF(B162="-","",IF(ISERROR(INDEX('Inventaire M-1'!$A$2:$AZ$9320,MATCH(B162,'Inventaire M-1'!$A:$A,0)-1,MATCH("Cours EUR",'Inventaire M-1'!#REF!,0))),"Buy",INDEX('Inventaire M-1'!$A$2:$AZ$9320,MATCH(B162,'Inventaire M-1'!$A:$A,0)-1,MATCH("Cours EUR",'Inventaire M-1'!#REF!,0))))</f>
        <v>#REF!</v>
      </c>
      <c r="G162" s="175"/>
      <c r="H162" s="156" t="e">
        <f>IF(B162="-","",INDEX('Inventaire M'!$A$2:$AW$9305,MATCH(B162,'Inventaire M'!$A:$A,0)-1,MATCH("quantite",'Inventaire M'!#REF!,0)))</f>
        <v>#REF!</v>
      </c>
      <c r="I162" s="156" t="e">
        <f>IF(C162="-","",IF(ISERROR(INDEX('Inventaire M-1'!$A$2:$AZ$9320,MATCH(B162,'Inventaire M-1'!$A:$A,0)-1,MATCH("quantite",'Inventaire M-1'!#REF!,0))),"Buy",INDEX('Inventaire M-1'!$A$2:$AZ$9320,MATCH(B162,'Inventaire M-1'!$A:$A,0)-1,MATCH("quantite",'Inventaire M-1'!#REF!,0))))</f>
        <v>#REF!</v>
      </c>
      <c r="J162" s="175"/>
      <c r="K162" s="155" t="e">
        <f>IF(B162="-","",INDEX('Inventaire M'!$A$2:$AW$9305,MATCH(B162,'Inventaire M'!$A:$A,0)-1,MATCH("poids",'Inventaire M'!#REF!,0)))</f>
        <v>#REF!</v>
      </c>
      <c r="L162" s="155" t="e">
        <f>IF(B162="-","",IF(ISERROR(INDEX('Inventaire M-1'!$A$2:$AZ$9320,MATCH(B162,'Inventaire M-1'!$A:$A,0)-1,MATCH("poids",'Inventaire M-1'!#REF!,0))),"Buy",INDEX('Inventaire M-1'!$A$2:$AZ$9320,MATCH(B162,'Inventaire M-1'!$A:$A,0)-1,MATCH("poids",'Inventaire M-1'!#REF!,0))))</f>
        <v>#REF!</v>
      </c>
      <c r="M162" s="175"/>
      <c r="N162" s="157" t="str">
        <f t="shared" si="12"/>
        <v>0</v>
      </c>
      <c r="O162" s="98" t="str">
        <f t="shared" si="13"/>
        <v/>
      </c>
      <c r="P162" s="80" t="e">
        <f t="shared" si="14"/>
        <v>#REF!</v>
      </c>
      <c r="Q162" s="75">
        <v>1.3799999999999999E-8</v>
      </c>
      <c r="R162" s="175" t="e">
        <f>IF(OR('Inventaire M-1'!#REF!="Dispo/Liquidité Investie",'Inventaire M-1'!#REF!="Option/Future",'Inventaire M-1'!#REF!="TCN",'Inventaire M-1'!#REF!=""),"-",'Inventaire M-1'!#REF!)</f>
        <v>#REF!</v>
      </c>
      <c r="S162" s="175" t="e">
        <f>IF(OR('Inventaire M-1'!#REF!="Dispo/Liquidité Investie",'Inventaire M-1'!#REF!="Option/Future",'Inventaire M-1'!#REF!="TCN",'Inventaire M-1'!#REF!=""),"-",'Inventaire M-1'!#REF!)</f>
        <v>#REF!</v>
      </c>
      <c r="T162" s="175"/>
      <c r="U162" s="175" t="e">
        <f>IF(R162="-","",INDEX('Inventaire M-1'!$A$2:$AG$9334,MATCH(R162,'Inventaire M-1'!$A:$A,0)-1,MATCH("Cours EUR",'Inventaire M-1'!#REF!,0)))</f>
        <v>#REF!</v>
      </c>
      <c r="V162" s="175" t="e">
        <f>IF(R162="-","",IF(ISERROR(INDEX('Inventaire M'!$A$2:$AD$9319,MATCH(R162,'Inventaire M'!$A:$A,0)-1,MATCH("Cours EUR",'Inventaire M'!#REF!,0))),"Sell",INDEX('Inventaire M'!$A$2:$AD$9319,MATCH(R162,'Inventaire M'!$A:$A,0)-1,MATCH("Cours EUR",'Inventaire M'!#REF!,0))))</f>
        <v>#REF!</v>
      </c>
      <c r="W162" s="175"/>
      <c r="X162" s="156" t="e">
        <f>IF(R162="-","",INDEX('Inventaire M-1'!$A$2:$AG$9334,MATCH(R162,'Inventaire M-1'!$A:$A,0)-1,MATCH("quantite",'Inventaire M-1'!#REF!,0)))</f>
        <v>#REF!</v>
      </c>
      <c r="Y162" s="156" t="e">
        <f>IF(S162="-","",IF(ISERROR(INDEX('Inventaire M'!$A$2:$AD$9319,MATCH(R162,'Inventaire M'!$A:$A,0)-1,MATCH("quantite",'Inventaire M'!#REF!,0))),"Sell",INDEX('Inventaire M'!$A$2:$AD$9319,MATCH(R162,'Inventaire M'!$A:$A,0)-1,MATCH("quantite",'Inventaire M'!#REF!,0))))</f>
        <v>#REF!</v>
      </c>
      <c r="Z162" s="175"/>
      <c r="AA162" s="155" t="e">
        <f>IF(R162="-","",INDEX('Inventaire M-1'!$A$2:$AG$9334,MATCH(R162,'Inventaire M-1'!$A:$A,0)-1,MATCH("poids",'Inventaire M-1'!#REF!,0)))</f>
        <v>#REF!</v>
      </c>
      <c r="AB162" s="155" t="e">
        <f>IF(R162="-","",IF(ISERROR(INDEX('Inventaire M'!$A$2:$AD$9319,MATCH(R162,'Inventaire M'!$A:$A,0)-1,MATCH("poids",'Inventaire M'!#REF!,0))),"Sell",INDEX('Inventaire M'!$A$2:$AD$9319,MATCH(R162,'Inventaire M'!$A:$A,0)-1,MATCH("poids",'Inventaire M'!#REF!,0))))</f>
        <v>#REF!</v>
      </c>
      <c r="AC162" s="175"/>
      <c r="AD162" s="157" t="str">
        <f t="shared" si="15"/>
        <v>0</v>
      </c>
      <c r="AE162" s="98" t="str">
        <f t="shared" si="16"/>
        <v/>
      </c>
      <c r="AF162" s="80" t="e">
        <f t="shared" si="17"/>
        <v>#REF!</v>
      </c>
    </row>
    <row r="163" spans="2:32" outlineLevel="1">
      <c r="B163" s="175" t="e">
        <f>IF(OR('Inventaire M'!#REF!="Dispo/Liquidité Investie",'Inventaire M'!#REF!="Option/Future",'Inventaire M'!#REF!="TCN",'Inventaire M'!#REF!=""),"-",'Inventaire M'!#REF!)</f>
        <v>#REF!</v>
      </c>
      <c r="C163" s="175" t="e">
        <f>IF(OR('Inventaire M'!#REF!="Dispo/Liquidité Investie",'Inventaire M'!#REF!="Option/Future",'Inventaire M'!#REF!="TCN",'Inventaire M'!#REF!=""),"-",'Inventaire M'!#REF!)</f>
        <v>#REF!</v>
      </c>
      <c r="D163" s="175"/>
      <c r="E163" s="175" t="e">
        <f>IF(B163="-","",INDEX('Inventaire M'!$A$2:$AW$9305,MATCH(B163,'Inventaire M'!$A:$A,0)-1,MATCH("Cours EUR",'Inventaire M'!#REF!,0)))</f>
        <v>#REF!</v>
      </c>
      <c r="F163" s="175" t="e">
        <f>IF(B163="-","",IF(ISERROR(INDEX('Inventaire M-1'!$A$2:$AZ$9320,MATCH(B163,'Inventaire M-1'!$A:$A,0)-1,MATCH("Cours EUR",'Inventaire M-1'!#REF!,0))),"Buy",INDEX('Inventaire M-1'!$A$2:$AZ$9320,MATCH(B163,'Inventaire M-1'!$A:$A,0)-1,MATCH("Cours EUR",'Inventaire M-1'!#REF!,0))))</f>
        <v>#REF!</v>
      </c>
      <c r="G163" s="175"/>
      <c r="H163" s="156" t="e">
        <f>IF(B163="-","",INDEX('Inventaire M'!$A$2:$AW$9305,MATCH(B163,'Inventaire M'!$A:$A,0)-1,MATCH("quantite",'Inventaire M'!#REF!,0)))</f>
        <v>#REF!</v>
      </c>
      <c r="I163" s="156" t="e">
        <f>IF(C163="-","",IF(ISERROR(INDEX('Inventaire M-1'!$A$2:$AZ$9320,MATCH(B163,'Inventaire M-1'!$A:$A,0)-1,MATCH("quantite",'Inventaire M-1'!#REF!,0))),"Buy",INDEX('Inventaire M-1'!$A$2:$AZ$9320,MATCH(B163,'Inventaire M-1'!$A:$A,0)-1,MATCH("quantite",'Inventaire M-1'!#REF!,0))))</f>
        <v>#REF!</v>
      </c>
      <c r="J163" s="175"/>
      <c r="K163" s="155" t="e">
        <f>IF(B163="-","",INDEX('Inventaire M'!$A$2:$AW$9305,MATCH(B163,'Inventaire M'!$A:$A,0)-1,MATCH("poids",'Inventaire M'!#REF!,0)))</f>
        <v>#REF!</v>
      </c>
      <c r="L163" s="155" t="e">
        <f>IF(B163="-","",IF(ISERROR(INDEX('Inventaire M-1'!$A$2:$AZ$9320,MATCH(B163,'Inventaire M-1'!$A:$A,0)-1,MATCH("poids",'Inventaire M-1'!#REF!,0))),"Buy",INDEX('Inventaire M-1'!$A$2:$AZ$9320,MATCH(B163,'Inventaire M-1'!$A:$A,0)-1,MATCH("poids",'Inventaire M-1'!#REF!,0))))</f>
        <v>#REF!</v>
      </c>
      <c r="M163" s="175"/>
      <c r="N163" s="157" t="str">
        <f t="shared" si="12"/>
        <v>0</v>
      </c>
      <c r="O163" s="98" t="str">
        <f t="shared" si="13"/>
        <v/>
      </c>
      <c r="P163" s="80" t="e">
        <f t="shared" si="14"/>
        <v>#REF!</v>
      </c>
      <c r="Q163" s="75">
        <v>1.39E-8</v>
      </c>
      <c r="R163" s="175" t="e">
        <f>IF(OR('Inventaire M-1'!#REF!="Dispo/Liquidité Investie",'Inventaire M-1'!#REF!="Option/Future",'Inventaire M-1'!#REF!="TCN",'Inventaire M-1'!#REF!=""),"-",'Inventaire M-1'!#REF!)</f>
        <v>#REF!</v>
      </c>
      <c r="S163" s="175" t="e">
        <f>IF(OR('Inventaire M-1'!#REF!="Dispo/Liquidité Investie",'Inventaire M-1'!#REF!="Option/Future",'Inventaire M-1'!#REF!="TCN",'Inventaire M-1'!#REF!=""),"-",'Inventaire M-1'!#REF!)</f>
        <v>#REF!</v>
      </c>
      <c r="T163" s="175"/>
      <c r="U163" s="175" t="e">
        <f>IF(R163="-","",INDEX('Inventaire M-1'!$A$2:$AG$9334,MATCH(R163,'Inventaire M-1'!$A:$A,0)-1,MATCH("Cours EUR",'Inventaire M-1'!#REF!,0)))</f>
        <v>#REF!</v>
      </c>
      <c r="V163" s="175" t="e">
        <f>IF(R163="-","",IF(ISERROR(INDEX('Inventaire M'!$A$2:$AD$9319,MATCH(R163,'Inventaire M'!$A:$A,0)-1,MATCH("Cours EUR",'Inventaire M'!#REF!,0))),"Sell",INDEX('Inventaire M'!$A$2:$AD$9319,MATCH(R163,'Inventaire M'!$A:$A,0)-1,MATCH("Cours EUR",'Inventaire M'!#REF!,0))))</f>
        <v>#REF!</v>
      </c>
      <c r="W163" s="175"/>
      <c r="X163" s="156" t="e">
        <f>IF(R163="-","",INDEX('Inventaire M-1'!$A$2:$AG$9334,MATCH(R163,'Inventaire M-1'!$A:$A,0)-1,MATCH("quantite",'Inventaire M-1'!#REF!,0)))</f>
        <v>#REF!</v>
      </c>
      <c r="Y163" s="156" t="e">
        <f>IF(S163="-","",IF(ISERROR(INDEX('Inventaire M'!$A$2:$AD$9319,MATCH(R163,'Inventaire M'!$A:$A,0)-1,MATCH("quantite",'Inventaire M'!#REF!,0))),"Sell",INDEX('Inventaire M'!$A$2:$AD$9319,MATCH(R163,'Inventaire M'!$A:$A,0)-1,MATCH("quantite",'Inventaire M'!#REF!,0))))</f>
        <v>#REF!</v>
      </c>
      <c r="Z163" s="175"/>
      <c r="AA163" s="155" t="e">
        <f>IF(R163="-","",INDEX('Inventaire M-1'!$A$2:$AG$9334,MATCH(R163,'Inventaire M-1'!$A:$A,0)-1,MATCH("poids",'Inventaire M-1'!#REF!,0)))</f>
        <v>#REF!</v>
      </c>
      <c r="AB163" s="155" t="e">
        <f>IF(R163="-","",IF(ISERROR(INDEX('Inventaire M'!$A$2:$AD$9319,MATCH(R163,'Inventaire M'!$A:$A,0)-1,MATCH("poids",'Inventaire M'!#REF!,0))),"Sell",INDEX('Inventaire M'!$A$2:$AD$9319,MATCH(R163,'Inventaire M'!$A:$A,0)-1,MATCH("poids",'Inventaire M'!#REF!,0))))</f>
        <v>#REF!</v>
      </c>
      <c r="AC163" s="175"/>
      <c r="AD163" s="157" t="str">
        <f t="shared" si="15"/>
        <v>0</v>
      </c>
      <c r="AE163" s="98" t="str">
        <f t="shared" si="16"/>
        <v/>
      </c>
      <c r="AF163" s="80" t="e">
        <f t="shared" si="17"/>
        <v>#REF!</v>
      </c>
    </row>
    <row r="164" spans="2:32" outlineLevel="1">
      <c r="B164" s="175" t="e">
        <f>IF(OR('Inventaire M'!#REF!="Dispo/Liquidité Investie",'Inventaire M'!#REF!="Option/Future",'Inventaire M'!#REF!="TCN",'Inventaire M'!#REF!=""),"-",'Inventaire M'!#REF!)</f>
        <v>#REF!</v>
      </c>
      <c r="C164" s="175" t="e">
        <f>IF(OR('Inventaire M'!#REF!="Dispo/Liquidité Investie",'Inventaire M'!#REF!="Option/Future",'Inventaire M'!#REF!="TCN",'Inventaire M'!#REF!=""),"-",'Inventaire M'!#REF!)</f>
        <v>#REF!</v>
      </c>
      <c r="D164" s="175"/>
      <c r="E164" s="175" t="e">
        <f>IF(B164="-","",INDEX('Inventaire M'!$A$2:$AW$9305,MATCH(B164,'Inventaire M'!$A:$A,0)-1,MATCH("Cours EUR",'Inventaire M'!#REF!,0)))</f>
        <v>#REF!</v>
      </c>
      <c r="F164" s="175" t="e">
        <f>IF(B164="-","",IF(ISERROR(INDEX('Inventaire M-1'!$A$2:$AZ$9320,MATCH(B164,'Inventaire M-1'!$A:$A,0)-1,MATCH("Cours EUR",'Inventaire M-1'!#REF!,0))),"Buy",INDEX('Inventaire M-1'!$A$2:$AZ$9320,MATCH(B164,'Inventaire M-1'!$A:$A,0)-1,MATCH("Cours EUR",'Inventaire M-1'!#REF!,0))))</f>
        <v>#REF!</v>
      </c>
      <c r="G164" s="175"/>
      <c r="H164" s="156" t="e">
        <f>IF(B164="-","",INDEX('Inventaire M'!$A$2:$AW$9305,MATCH(B164,'Inventaire M'!$A:$A,0)-1,MATCH("quantite",'Inventaire M'!#REF!,0)))</f>
        <v>#REF!</v>
      </c>
      <c r="I164" s="156" t="e">
        <f>IF(C164="-","",IF(ISERROR(INDEX('Inventaire M-1'!$A$2:$AZ$9320,MATCH(B164,'Inventaire M-1'!$A:$A,0)-1,MATCH("quantite",'Inventaire M-1'!#REF!,0))),"Buy",INDEX('Inventaire M-1'!$A$2:$AZ$9320,MATCH(B164,'Inventaire M-1'!$A:$A,0)-1,MATCH("quantite",'Inventaire M-1'!#REF!,0))))</f>
        <v>#REF!</v>
      </c>
      <c r="J164" s="175"/>
      <c r="K164" s="155" t="e">
        <f>IF(B164="-","",INDEX('Inventaire M'!$A$2:$AW$9305,MATCH(B164,'Inventaire M'!$A:$A,0)-1,MATCH("poids",'Inventaire M'!#REF!,0)))</f>
        <v>#REF!</v>
      </c>
      <c r="L164" s="155" t="e">
        <f>IF(B164="-","",IF(ISERROR(INDEX('Inventaire M-1'!$A$2:$AZ$9320,MATCH(B164,'Inventaire M-1'!$A:$A,0)-1,MATCH("poids",'Inventaire M-1'!#REF!,0))),"Buy",INDEX('Inventaire M-1'!$A$2:$AZ$9320,MATCH(B164,'Inventaire M-1'!$A:$A,0)-1,MATCH("poids",'Inventaire M-1'!#REF!,0))))</f>
        <v>#REF!</v>
      </c>
      <c r="M164" s="175"/>
      <c r="N164" s="157" t="str">
        <f t="shared" si="12"/>
        <v>0</v>
      </c>
      <c r="O164" s="98" t="str">
        <f t="shared" si="13"/>
        <v/>
      </c>
      <c r="P164" s="80" t="e">
        <f t="shared" si="14"/>
        <v>#REF!</v>
      </c>
      <c r="Q164" s="75">
        <v>1.4E-8</v>
      </c>
      <c r="R164" s="175" t="e">
        <f>IF(OR('Inventaire M-1'!#REF!="Dispo/Liquidité Investie",'Inventaire M-1'!#REF!="Option/Future",'Inventaire M-1'!#REF!="TCN",'Inventaire M-1'!#REF!=""),"-",'Inventaire M-1'!#REF!)</f>
        <v>#REF!</v>
      </c>
      <c r="S164" s="175" t="e">
        <f>IF(OR('Inventaire M-1'!#REF!="Dispo/Liquidité Investie",'Inventaire M-1'!#REF!="Option/Future",'Inventaire M-1'!#REF!="TCN",'Inventaire M-1'!#REF!=""),"-",'Inventaire M-1'!#REF!)</f>
        <v>#REF!</v>
      </c>
      <c r="T164" s="175"/>
      <c r="U164" s="175" t="e">
        <f>IF(R164="-","",INDEX('Inventaire M-1'!$A$2:$AG$9334,MATCH(R164,'Inventaire M-1'!$A:$A,0)-1,MATCH("Cours EUR",'Inventaire M-1'!#REF!,0)))</f>
        <v>#REF!</v>
      </c>
      <c r="V164" s="175" t="e">
        <f>IF(R164="-","",IF(ISERROR(INDEX('Inventaire M'!$A$2:$AD$9319,MATCH(R164,'Inventaire M'!$A:$A,0)-1,MATCH("Cours EUR",'Inventaire M'!#REF!,0))),"Sell",INDEX('Inventaire M'!$A$2:$AD$9319,MATCH(R164,'Inventaire M'!$A:$A,0)-1,MATCH("Cours EUR",'Inventaire M'!#REF!,0))))</f>
        <v>#REF!</v>
      </c>
      <c r="W164" s="175"/>
      <c r="X164" s="156" t="e">
        <f>IF(R164="-","",INDEX('Inventaire M-1'!$A$2:$AG$9334,MATCH(R164,'Inventaire M-1'!$A:$A,0)-1,MATCH("quantite",'Inventaire M-1'!#REF!,0)))</f>
        <v>#REF!</v>
      </c>
      <c r="Y164" s="156" t="e">
        <f>IF(S164="-","",IF(ISERROR(INDEX('Inventaire M'!$A$2:$AD$9319,MATCH(R164,'Inventaire M'!$A:$A,0)-1,MATCH("quantite",'Inventaire M'!#REF!,0))),"Sell",INDEX('Inventaire M'!$A$2:$AD$9319,MATCH(R164,'Inventaire M'!$A:$A,0)-1,MATCH("quantite",'Inventaire M'!#REF!,0))))</f>
        <v>#REF!</v>
      </c>
      <c r="Z164" s="175"/>
      <c r="AA164" s="155" t="e">
        <f>IF(R164="-","",INDEX('Inventaire M-1'!$A$2:$AG$9334,MATCH(R164,'Inventaire M-1'!$A:$A,0)-1,MATCH("poids",'Inventaire M-1'!#REF!,0)))</f>
        <v>#REF!</v>
      </c>
      <c r="AB164" s="155" t="e">
        <f>IF(R164="-","",IF(ISERROR(INDEX('Inventaire M'!$A$2:$AD$9319,MATCH(R164,'Inventaire M'!$A:$A,0)-1,MATCH("poids",'Inventaire M'!#REF!,0))),"Sell",INDEX('Inventaire M'!$A$2:$AD$9319,MATCH(R164,'Inventaire M'!$A:$A,0)-1,MATCH("poids",'Inventaire M'!#REF!,0))))</f>
        <v>#REF!</v>
      </c>
      <c r="AC164" s="175"/>
      <c r="AD164" s="157" t="str">
        <f t="shared" si="15"/>
        <v>0</v>
      </c>
      <c r="AE164" s="98" t="str">
        <f t="shared" si="16"/>
        <v/>
      </c>
      <c r="AF164" s="80" t="e">
        <f t="shared" si="17"/>
        <v>#REF!</v>
      </c>
    </row>
    <row r="165" spans="2:32" outlineLevel="1">
      <c r="B165" s="175" t="e">
        <f>IF(OR('Inventaire M'!#REF!="Dispo/Liquidité Investie",'Inventaire M'!#REF!="Option/Future",'Inventaire M'!#REF!="TCN",'Inventaire M'!#REF!=""),"-",'Inventaire M'!#REF!)</f>
        <v>#REF!</v>
      </c>
      <c r="C165" s="175" t="e">
        <f>IF(OR('Inventaire M'!#REF!="Dispo/Liquidité Investie",'Inventaire M'!#REF!="Option/Future",'Inventaire M'!#REF!="TCN",'Inventaire M'!#REF!=""),"-",'Inventaire M'!#REF!)</f>
        <v>#REF!</v>
      </c>
      <c r="D165" s="175"/>
      <c r="E165" s="175" t="e">
        <f>IF(B165="-","",INDEX('Inventaire M'!$A$2:$AW$9305,MATCH(B165,'Inventaire M'!$A:$A,0)-1,MATCH("Cours EUR",'Inventaire M'!#REF!,0)))</f>
        <v>#REF!</v>
      </c>
      <c r="F165" s="175" t="e">
        <f>IF(B165="-","",IF(ISERROR(INDEX('Inventaire M-1'!$A$2:$AZ$9320,MATCH(B165,'Inventaire M-1'!$A:$A,0)-1,MATCH("Cours EUR",'Inventaire M-1'!#REF!,0))),"Buy",INDEX('Inventaire M-1'!$A$2:$AZ$9320,MATCH(B165,'Inventaire M-1'!$A:$A,0)-1,MATCH("Cours EUR",'Inventaire M-1'!#REF!,0))))</f>
        <v>#REF!</v>
      </c>
      <c r="G165" s="175"/>
      <c r="H165" s="156" t="e">
        <f>IF(B165="-","",INDEX('Inventaire M'!$A$2:$AW$9305,MATCH(B165,'Inventaire M'!$A:$A,0)-1,MATCH("quantite",'Inventaire M'!#REF!,0)))</f>
        <v>#REF!</v>
      </c>
      <c r="I165" s="156" t="e">
        <f>IF(C165="-","",IF(ISERROR(INDEX('Inventaire M-1'!$A$2:$AZ$9320,MATCH(B165,'Inventaire M-1'!$A:$A,0)-1,MATCH("quantite",'Inventaire M-1'!#REF!,0))),"Buy",INDEX('Inventaire M-1'!$A$2:$AZ$9320,MATCH(B165,'Inventaire M-1'!$A:$A,0)-1,MATCH("quantite",'Inventaire M-1'!#REF!,0))))</f>
        <v>#REF!</v>
      </c>
      <c r="J165" s="175"/>
      <c r="K165" s="155" t="e">
        <f>IF(B165="-","",INDEX('Inventaire M'!$A$2:$AW$9305,MATCH(B165,'Inventaire M'!$A:$A,0)-1,MATCH("poids",'Inventaire M'!#REF!,0)))</f>
        <v>#REF!</v>
      </c>
      <c r="L165" s="155" t="e">
        <f>IF(B165="-","",IF(ISERROR(INDEX('Inventaire M-1'!$A$2:$AZ$9320,MATCH(B165,'Inventaire M-1'!$A:$A,0)-1,MATCH("poids",'Inventaire M-1'!#REF!,0))),"Buy",INDEX('Inventaire M-1'!$A$2:$AZ$9320,MATCH(B165,'Inventaire M-1'!$A:$A,0)-1,MATCH("poids",'Inventaire M-1'!#REF!,0))))</f>
        <v>#REF!</v>
      </c>
      <c r="M165" s="175"/>
      <c r="N165" s="157" t="str">
        <f t="shared" si="12"/>
        <v>0</v>
      </c>
      <c r="O165" s="98" t="str">
        <f t="shared" si="13"/>
        <v/>
      </c>
      <c r="P165" s="80" t="e">
        <f t="shared" si="14"/>
        <v>#REF!</v>
      </c>
      <c r="Q165" s="75">
        <v>1.4100000000000001E-8</v>
      </c>
      <c r="R165" s="175" t="e">
        <f>IF(OR('Inventaire M-1'!#REF!="Dispo/Liquidité Investie",'Inventaire M-1'!#REF!="Option/Future",'Inventaire M-1'!#REF!="TCN",'Inventaire M-1'!#REF!=""),"-",'Inventaire M-1'!#REF!)</f>
        <v>#REF!</v>
      </c>
      <c r="S165" s="175" t="e">
        <f>IF(OR('Inventaire M-1'!#REF!="Dispo/Liquidité Investie",'Inventaire M-1'!#REF!="Option/Future",'Inventaire M-1'!#REF!="TCN",'Inventaire M-1'!#REF!=""),"-",'Inventaire M-1'!#REF!)</f>
        <v>#REF!</v>
      </c>
      <c r="T165" s="175"/>
      <c r="U165" s="175" t="e">
        <f>IF(R165="-","",INDEX('Inventaire M-1'!$A$2:$AG$9334,MATCH(R165,'Inventaire M-1'!$A:$A,0)-1,MATCH("Cours EUR",'Inventaire M-1'!#REF!,0)))</f>
        <v>#REF!</v>
      </c>
      <c r="V165" s="175" t="e">
        <f>IF(R165="-","",IF(ISERROR(INDEX('Inventaire M'!$A$2:$AD$9319,MATCH(R165,'Inventaire M'!$A:$A,0)-1,MATCH("Cours EUR",'Inventaire M'!#REF!,0))),"Sell",INDEX('Inventaire M'!$A$2:$AD$9319,MATCH(R165,'Inventaire M'!$A:$A,0)-1,MATCH("Cours EUR",'Inventaire M'!#REF!,0))))</f>
        <v>#REF!</v>
      </c>
      <c r="W165" s="175"/>
      <c r="X165" s="156" t="e">
        <f>IF(R165="-","",INDEX('Inventaire M-1'!$A$2:$AG$9334,MATCH(R165,'Inventaire M-1'!$A:$A,0)-1,MATCH("quantite",'Inventaire M-1'!#REF!,0)))</f>
        <v>#REF!</v>
      </c>
      <c r="Y165" s="156" t="e">
        <f>IF(S165="-","",IF(ISERROR(INDEX('Inventaire M'!$A$2:$AD$9319,MATCH(R165,'Inventaire M'!$A:$A,0)-1,MATCH("quantite",'Inventaire M'!#REF!,0))),"Sell",INDEX('Inventaire M'!$A$2:$AD$9319,MATCH(R165,'Inventaire M'!$A:$A,0)-1,MATCH("quantite",'Inventaire M'!#REF!,0))))</f>
        <v>#REF!</v>
      </c>
      <c r="Z165" s="175"/>
      <c r="AA165" s="155" t="e">
        <f>IF(R165="-","",INDEX('Inventaire M-1'!$A$2:$AG$9334,MATCH(R165,'Inventaire M-1'!$A:$A,0)-1,MATCH("poids",'Inventaire M-1'!#REF!,0)))</f>
        <v>#REF!</v>
      </c>
      <c r="AB165" s="155" t="e">
        <f>IF(R165="-","",IF(ISERROR(INDEX('Inventaire M'!$A$2:$AD$9319,MATCH(R165,'Inventaire M'!$A:$A,0)-1,MATCH("poids",'Inventaire M'!#REF!,0))),"Sell",INDEX('Inventaire M'!$A$2:$AD$9319,MATCH(R165,'Inventaire M'!$A:$A,0)-1,MATCH("poids",'Inventaire M'!#REF!,0))))</f>
        <v>#REF!</v>
      </c>
      <c r="AC165" s="175"/>
      <c r="AD165" s="157" t="str">
        <f t="shared" si="15"/>
        <v>0</v>
      </c>
      <c r="AE165" s="98" t="str">
        <f t="shared" si="16"/>
        <v/>
      </c>
      <c r="AF165" s="80" t="e">
        <f t="shared" si="17"/>
        <v>#REF!</v>
      </c>
    </row>
    <row r="166" spans="2:32" outlineLevel="1">
      <c r="B166" s="175" t="e">
        <f>IF(OR('Inventaire M'!#REF!="Dispo/Liquidité Investie",'Inventaire M'!#REF!="Option/Future",'Inventaire M'!#REF!="TCN",'Inventaire M'!#REF!=""),"-",'Inventaire M'!#REF!)</f>
        <v>#REF!</v>
      </c>
      <c r="C166" s="175" t="e">
        <f>IF(OR('Inventaire M'!#REF!="Dispo/Liquidité Investie",'Inventaire M'!#REF!="Option/Future",'Inventaire M'!#REF!="TCN",'Inventaire M'!#REF!=""),"-",'Inventaire M'!#REF!)</f>
        <v>#REF!</v>
      </c>
      <c r="D166" s="175"/>
      <c r="E166" s="175" t="e">
        <f>IF(B166="-","",INDEX('Inventaire M'!$A$2:$AW$9305,MATCH(B166,'Inventaire M'!$A:$A,0)-1,MATCH("Cours EUR",'Inventaire M'!#REF!,0)))</f>
        <v>#REF!</v>
      </c>
      <c r="F166" s="175" t="e">
        <f>IF(B166="-","",IF(ISERROR(INDEX('Inventaire M-1'!$A$2:$AZ$9320,MATCH(B166,'Inventaire M-1'!$A:$A,0)-1,MATCH("Cours EUR",'Inventaire M-1'!#REF!,0))),"Buy",INDEX('Inventaire M-1'!$A$2:$AZ$9320,MATCH(B166,'Inventaire M-1'!$A:$A,0)-1,MATCH("Cours EUR",'Inventaire M-1'!#REF!,0))))</f>
        <v>#REF!</v>
      </c>
      <c r="G166" s="175"/>
      <c r="H166" s="156" t="e">
        <f>IF(B166="-","",INDEX('Inventaire M'!$A$2:$AW$9305,MATCH(B166,'Inventaire M'!$A:$A,0)-1,MATCH("quantite",'Inventaire M'!#REF!,0)))</f>
        <v>#REF!</v>
      </c>
      <c r="I166" s="156" t="e">
        <f>IF(C166="-","",IF(ISERROR(INDEX('Inventaire M-1'!$A$2:$AZ$9320,MATCH(B166,'Inventaire M-1'!$A:$A,0)-1,MATCH("quantite",'Inventaire M-1'!#REF!,0))),"Buy",INDEX('Inventaire M-1'!$A$2:$AZ$9320,MATCH(B166,'Inventaire M-1'!$A:$A,0)-1,MATCH("quantite",'Inventaire M-1'!#REF!,0))))</f>
        <v>#REF!</v>
      </c>
      <c r="J166" s="175"/>
      <c r="K166" s="155" t="e">
        <f>IF(B166="-","",INDEX('Inventaire M'!$A$2:$AW$9305,MATCH(B166,'Inventaire M'!$A:$A,0)-1,MATCH("poids",'Inventaire M'!#REF!,0)))</f>
        <v>#REF!</v>
      </c>
      <c r="L166" s="155" t="e">
        <f>IF(B166="-","",IF(ISERROR(INDEX('Inventaire M-1'!$A$2:$AZ$9320,MATCH(B166,'Inventaire M-1'!$A:$A,0)-1,MATCH("poids",'Inventaire M-1'!#REF!,0))),"Buy",INDEX('Inventaire M-1'!$A$2:$AZ$9320,MATCH(B166,'Inventaire M-1'!$A:$A,0)-1,MATCH("poids",'Inventaire M-1'!#REF!,0))))</f>
        <v>#REF!</v>
      </c>
      <c r="M166" s="175"/>
      <c r="N166" s="157" t="str">
        <f t="shared" si="12"/>
        <v>0</v>
      </c>
      <c r="O166" s="98" t="str">
        <f t="shared" si="13"/>
        <v/>
      </c>
      <c r="P166" s="80" t="e">
        <f t="shared" si="14"/>
        <v>#REF!</v>
      </c>
      <c r="Q166" s="75">
        <v>1.42E-8</v>
      </c>
      <c r="R166" s="175" t="e">
        <f>IF(OR('Inventaire M-1'!#REF!="Dispo/Liquidité Investie",'Inventaire M-1'!#REF!="Option/Future",'Inventaire M-1'!#REF!="TCN",'Inventaire M-1'!#REF!=""),"-",'Inventaire M-1'!#REF!)</f>
        <v>#REF!</v>
      </c>
      <c r="S166" s="175" t="e">
        <f>IF(OR('Inventaire M-1'!#REF!="Dispo/Liquidité Investie",'Inventaire M-1'!#REF!="Option/Future",'Inventaire M-1'!#REF!="TCN",'Inventaire M-1'!#REF!=""),"-",'Inventaire M-1'!#REF!)</f>
        <v>#REF!</v>
      </c>
      <c r="T166" s="175"/>
      <c r="U166" s="175" t="e">
        <f>IF(R166="-","",INDEX('Inventaire M-1'!$A$2:$AG$9334,MATCH(R166,'Inventaire M-1'!$A:$A,0)-1,MATCH("Cours EUR",'Inventaire M-1'!#REF!,0)))</f>
        <v>#REF!</v>
      </c>
      <c r="V166" s="175" t="e">
        <f>IF(R166="-","",IF(ISERROR(INDEX('Inventaire M'!$A$2:$AD$9319,MATCH(R166,'Inventaire M'!$A:$A,0)-1,MATCH("Cours EUR",'Inventaire M'!#REF!,0))),"Sell",INDEX('Inventaire M'!$A$2:$AD$9319,MATCH(R166,'Inventaire M'!$A:$A,0)-1,MATCH("Cours EUR",'Inventaire M'!#REF!,0))))</f>
        <v>#REF!</v>
      </c>
      <c r="W166" s="175"/>
      <c r="X166" s="156" t="e">
        <f>IF(R166="-","",INDEX('Inventaire M-1'!$A$2:$AG$9334,MATCH(R166,'Inventaire M-1'!$A:$A,0)-1,MATCH("quantite",'Inventaire M-1'!#REF!,0)))</f>
        <v>#REF!</v>
      </c>
      <c r="Y166" s="156" t="e">
        <f>IF(S166="-","",IF(ISERROR(INDEX('Inventaire M'!$A$2:$AD$9319,MATCH(R166,'Inventaire M'!$A:$A,0)-1,MATCH("quantite",'Inventaire M'!#REF!,0))),"Sell",INDEX('Inventaire M'!$A$2:$AD$9319,MATCH(R166,'Inventaire M'!$A:$A,0)-1,MATCH("quantite",'Inventaire M'!#REF!,0))))</f>
        <v>#REF!</v>
      </c>
      <c r="Z166" s="175"/>
      <c r="AA166" s="155" t="e">
        <f>IF(R166="-","",INDEX('Inventaire M-1'!$A$2:$AG$9334,MATCH(R166,'Inventaire M-1'!$A:$A,0)-1,MATCH("poids",'Inventaire M-1'!#REF!,0)))</f>
        <v>#REF!</v>
      </c>
      <c r="AB166" s="155" t="e">
        <f>IF(R166="-","",IF(ISERROR(INDEX('Inventaire M'!$A$2:$AD$9319,MATCH(R166,'Inventaire M'!$A:$A,0)-1,MATCH("poids",'Inventaire M'!#REF!,0))),"Sell",INDEX('Inventaire M'!$A$2:$AD$9319,MATCH(R166,'Inventaire M'!$A:$A,0)-1,MATCH("poids",'Inventaire M'!#REF!,0))))</f>
        <v>#REF!</v>
      </c>
      <c r="AC166" s="175"/>
      <c r="AD166" s="157" t="str">
        <f t="shared" si="15"/>
        <v>0</v>
      </c>
      <c r="AE166" s="98" t="str">
        <f t="shared" si="16"/>
        <v/>
      </c>
      <c r="AF166" s="80" t="e">
        <f t="shared" si="17"/>
        <v>#REF!</v>
      </c>
    </row>
    <row r="167" spans="2:32" outlineLevel="1">
      <c r="B167" s="175" t="e">
        <f>IF(OR('Inventaire M'!#REF!="Dispo/Liquidité Investie",'Inventaire M'!#REF!="Option/Future",'Inventaire M'!#REF!="TCN",'Inventaire M'!#REF!=""),"-",'Inventaire M'!#REF!)</f>
        <v>#REF!</v>
      </c>
      <c r="C167" s="175" t="e">
        <f>IF(OR('Inventaire M'!#REF!="Dispo/Liquidité Investie",'Inventaire M'!#REF!="Option/Future",'Inventaire M'!#REF!="TCN",'Inventaire M'!#REF!=""),"-",'Inventaire M'!#REF!)</f>
        <v>#REF!</v>
      </c>
      <c r="D167" s="175"/>
      <c r="E167" s="175" t="e">
        <f>IF(B167="-","",INDEX('Inventaire M'!$A$2:$AW$9305,MATCH(B167,'Inventaire M'!$A:$A,0)-1,MATCH("Cours EUR",'Inventaire M'!#REF!,0)))</f>
        <v>#REF!</v>
      </c>
      <c r="F167" s="175" t="e">
        <f>IF(B167="-","",IF(ISERROR(INDEX('Inventaire M-1'!$A$2:$AZ$9320,MATCH(B167,'Inventaire M-1'!$A:$A,0)-1,MATCH("Cours EUR",'Inventaire M-1'!#REF!,0))),"Buy",INDEX('Inventaire M-1'!$A$2:$AZ$9320,MATCH(B167,'Inventaire M-1'!$A:$A,0)-1,MATCH("Cours EUR",'Inventaire M-1'!#REF!,0))))</f>
        <v>#REF!</v>
      </c>
      <c r="G167" s="175"/>
      <c r="H167" s="156" t="e">
        <f>IF(B167="-","",INDEX('Inventaire M'!$A$2:$AW$9305,MATCH(B167,'Inventaire M'!$A:$A,0)-1,MATCH("quantite",'Inventaire M'!#REF!,0)))</f>
        <v>#REF!</v>
      </c>
      <c r="I167" s="156" t="e">
        <f>IF(C167="-","",IF(ISERROR(INDEX('Inventaire M-1'!$A$2:$AZ$9320,MATCH(B167,'Inventaire M-1'!$A:$A,0)-1,MATCH("quantite",'Inventaire M-1'!#REF!,0))),"Buy",INDEX('Inventaire M-1'!$A$2:$AZ$9320,MATCH(B167,'Inventaire M-1'!$A:$A,0)-1,MATCH("quantite",'Inventaire M-1'!#REF!,0))))</f>
        <v>#REF!</v>
      </c>
      <c r="J167" s="175"/>
      <c r="K167" s="155" t="e">
        <f>IF(B167="-","",INDEX('Inventaire M'!$A$2:$AW$9305,MATCH(B167,'Inventaire M'!$A:$A,0)-1,MATCH("poids",'Inventaire M'!#REF!,0)))</f>
        <v>#REF!</v>
      </c>
      <c r="L167" s="155" t="e">
        <f>IF(B167="-","",IF(ISERROR(INDEX('Inventaire M-1'!$A$2:$AZ$9320,MATCH(B167,'Inventaire M-1'!$A:$A,0)-1,MATCH("poids",'Inventaire M-1'!#REF!,0))),"Buy",INDEX('Inventaire M-1'!$A$2:$AZ$9320,MATCH(B167,'Inventaire M-1'!$A:$A,0)-1,MATCH("poids",'Inventaire M-1'!#REF!,0))))</f>
        <v>#REF!</v>
      </c>
      <c r="M167" s="175"/>
      <c r="N167" s="157" t="str">
        <f t="shared" si="12"/>
        <v>0</v>
      </c>
      <c r="O167" s="98" t="str">
        <f t="shared" si="13"/>
        <v/>
      </c>
      <c r="P167" s="80" t="e">
        <f t="shared" si="14"/>
        <v>#REF!</v>
      </c>
      <c r="Q167" s="75">
        <v>1.4300000000000001E-8</v>
      </c>
      <c r="R167" s="175" t="e">
        <f>IF(OR('Inventaire M-1'!#REF!="Dispo/Liquidité Investie",'Inventaire M-1'!#REF!="Option/Future",'Inventaire M-1'!#REF!="TCN",'Inventaire M-1'!#REF!=""),"-",'Inventaire M-1'!#REF!)</f>
        <v>#REF!</v>
      </c>
      <c r="S167" s="175" t="e">
        <f>IF(OR('Inventaire M-1'!#REF!="Dispo/Liquidité Investie",'Inventaire M-1'!#REF!="Option/Future",'Inventaire M-1'!#REF!="TCN",'Inventaire M-1'!#REF!=""),"-",'Inventaire M-1'!#REF!)</f>
        <v>#REF!</v>
      </c>
      <c r="T167" s="175"/>
      <c r="U167" s="175" t="e">
        <f>IF(R167="-","",INDEX('Inventaire M-1'!$A$2:$AG$9334,MATCH(R167,'Inventaire M-1'!$A:$A,0)-1,MATCH("Cours EUR",'Inventaire M-1'!#REF!,0)))</f>
        <v>#REF!</v>
      </c>
      <c r="V167" s="175" t="e">
        <f>IF(R167="-","",IF(ISERROR(INDEX('Inventaire M'!$A$2:$AD$9319,MATCH(R167,'Inventaire M'!$A:$A,0)-1,MATCH("Cours EUR",'Inventaire M'!#REF!,0))),"Sell",INDEX('Inventaire M'!$A$2:$AD$9319,MATCH(R167,'Inventaire M'!$A:$A,0)-1,MATCH("Cours EUR",'Inventaire M'!#REF!,0))))</f>
        <v>#REF!</v>
      </c>
      <c r="W167" s="175"/>
      <c r="X167" s="156" t="e">
        <f>IF(R167="-","",INDEX('Inventaire M-1'!$A$2:$AG$9334,MATCH(R167,'Inventaire M-1'!$A:$A,0)-1,MATCH("quantite",'Inventaire M-1'!#REF!,0)))</f>
        <v>#REF!</v>
      </c>
      <c r="Y167" s="156" t="e">
        <f>IF(S167="-","",IF(ISERROR(INDEX('Inventaire M'!$A$2:$AD$9319,MATCH(R167,'Inventaire M'!$A:$A,0)-1,MATCH("quantite",'Inventaire M'!#REF!,0))),"Sell",INDEX('Inventaire M'!$A$2:$AD$9319,MATCH(R167,'Inventaire M'!$A:$A,0)-1,MATCH("quantite",'Inventaire M'!#REF!,0))))</f>
        <v>#REF!</v>
      </c>
      <c r="Z167" s="175"/>
      <c r="AA167" s="155" t="e">
        <f>IF(R167="-","",INDEX('Inventaire M-1'!$A$2:$AG$9334,MATCH(R167,'Inventaire M-1'!$A:$A,0)-1,MATCH("poids",'Inventaire M-1'!#REF!,0)))</f>
        <v>#REF!</v>
      </c>
      <c r="AB167" s="155" t="e">
        <f>IF(R167="-","",IF(ISERROR(INDEX('Inventaire M'!$A$2:$AD$9319,MATCH(R167,'Inventaire M'!$A:$A,0)-1,MATCH("poids",'Inventaire M'!#REF!,0))),"Sell",INDEX('Inventaire M'!$A$2:$AD$9319,MATCH(R167,'Inventaire M'!$A:$A,0)-1,MATCH("poids",'Inventaire M'!#REF!,0))))</f>
        <v>#REF!</v>
      </c>
      <c r="AC167" s="175"/>
      <c r="AD167" s="157" t="str">
        <f t="shared" si="15"/>
        <v>0</v>
      </c>
      <c r="AE167" s="98" t="str">
        <f t="shared" si="16"/>
        <v/>
      </c>
      <c r="AF167" s="80" t="e">
        <f t="shared" si="17"/>
        <v>#REF!</v>
      </c>
    </row>
    <row r="168" spans="2:32" outlineLevel="1">
      <c r="B168" s="175" t="e">
        <f>IF(OR('Inventaire M'!#REF!="Dispo/Liquidité Investie",'Inventaire M'!#REF!="Option/Future",'Inventaire M'!#REF!="TCN",'Inventaire M'!#REF!=""),"-",'Inventaire M'!#REF!)</f>
        <v>#REF!</v>
      </c>
      <c r="C168" s="175" t="e">
        <f>IF(OR('Inventaire M'!#REF!="Dispo/Liquidité Investie",'Inventaire M'!#REF!="Option/Future",'Inventaire M'!#REF!="TCN",'Inventaire M'!#REF!=""),"-",'Inventaire M'!#REF!)</f>
        <v>#REF!</v>
      </c>
      <c r="D168" s="175"/>
      <c r="E168" s="175" t="e">
        <f>IF(B168="-","",INDEX('Inventaire M'!$A$2:$AW$9305,MATCH(B168,'Inventaire M'!$A:$A,0)-1,MATCH("Cours EUR",'Inventaire M'!#REF!,0)))</f>
        <v>#REF!</v>
      </c>
      <c r="F168" s="175" t="e">
        <f>IF(B168="-","",IF(ISERROR(INDEX('Inventaire M-1'!$A$2:$AZ$9320,MATCH(B168,'Inventaire M-1'!$A:$A,0)-1,MATCH("Cours EUR",'Inventaire M-1'!#REF!,0))),"Buy",INDEX('Inventaire M-1'!$A$2:$AZ$9320,MATCH(B168,'Inventaire M-1'!$A:$A,0)-1,MATCH("Cours EUR",'Inventaire M-1'!#REF!,0))))</f>
        <v>#REF!</v>
      </c>
      <c r="G168" s="175"/>
      <c r="H168" s="156" t="e">
        <f>IF(B168="-","",INDEX('Inventaire M'!$A$2:$AW$9305,MATCH(B168,'Inventaire M'!$A:$A,0)-1,MATCH("quantite",'Inventaire M'!#REF!,0)))</f>
        <v>#REF!</v>
      </c>
      <c r="I168" s="156" t="e">
        <f>IF(C168="-","",IF(ISERROR(INDEX('Inventaire M-1'!$A$2:$AZ$9320,MATCH(B168,'Inventaire M-1'!$A:$A,0)-1,MATCH("quantite",'Inventaire M-1'!#REF!,0))),"Buy",INDEX('Inventaire M-1'!$A$2:$AZ$9320,MATCH(B168,'Inventaire M-1'!$A:$A,0)-1,MATCH("quantite",'Inventaire M-1'!#REF!,0))))</f>
        <v>#REF!</v>
      </c>
      <c r="J168" s="175"/>
      <c r="K168" s="155" t="e">
        <f>IF(B168="-","",INDEX('Inventaire M'!$A$2:$AW$9305,MATCH(B168,'Inventaire M'!$A:$A,0)-1,MATCH("poids",'Inventaire M'!#REF!,0)))</f>
        <v>#REF!</v>
      </c>
      <c r="L168" s="155" t="e">
        <f>IF(B168="-","",IF(ISERROR(INDEX('Inventaire M-1'!$A$2:$AZ$9320,MATCH(B168,'Inventaire M-1'!$A:$A,0)-1,MATCH("poids",'Inventaire M-1'!#REF!,0))),"Buy",INDEX('Inventaire M-1'!$A$2:$AZ$9320,MATCH(B168,'Inventaire M-1'!$A:$A,0)-1,MATCH("poids",'Inventaire M-1'!#REF!,0))))</f>
        <v>#REF!</v>
      </c>
      <c r="M168" s="175"/>
      <c r="N168" s="157" t="str">
        <f t="shared" si="12"/>
        <v>0</v>
      </c>
      <c r="O168" s="98" t="str">
        <f t="shared" si="13"/>
        <v/>
      </c>
      <c r="P168" s="80" t="e">
        <f t="shared" si="14"/>
        <v>#REF!</v>
      </c>
      <c r="Q168" s="75">
        <v>1.44E-8</v>
      </c>
      <c r="R168" s="175" t="e">
        <f>IF(OR('Inventaire M-1'!#REF!="Dispo/Liquidité Investie",'Inventaire M-1'!#REF!="Option/Future",'Inventaire M-1'!#REF!="TCN",'Inventaire M-1'!#REF!=""),"-",'Inventaire M-1'!#REF!)</f>
        <v>#REF!</v>
      </c>
      <c r="S168" s="175" t="e">
        <f>IF(OR('Inventaire M-1'!#REF!="Dispo/Liquidité Investie",'Inventaire M-1'!#REF!="Option/Future",'Inventaire M-1'!#REF!="TCN",'Inventaire M-1'!#REF!=""),"-",'Inventaire M-1'!#REF!)</f>
        <v>#REF!</v>
      </c>
      <c r="T168" s="175"/>
      <c r="U168" s="175" t="e">
        <f>IF(R168="-","",INDEX('Inventaire M-1'!$A$2:$AG$9334,MATCH(R168,'Inventaire M-1'!$A:$A,0)-1,MATCH("Cours EUR",'Inventaire M-1'!#REF!,0)))</f>
        <v>#REF!</v>
      </c>
      <c r="V168" s="175" t="e">
        <f>IF(R168="-","",IF(ISERROR(INDEX('Inventaire M'!$A$2:$AD$9319,MATCH(R168,'Inventaire M'!$A:$A,0)-1,MATCH("Cours EUR",'Inventaire M'!#REF!,0))),"Sell",INDEX('Inventaire M'!$A$2:$AD$9319,MATCH(R168,'Inventaire M'!$A:$A,0)-1,MATCH("Cours EUR",'Inventaire M'!#REF!,0))))</f>
        <v>#REF!</v>
      </c>
      <c r="W168" s="175"/>
      <c r="X168" s="156" t="e">
        <f>IF(R168="-","",INDEX('Inventaire M-1'!$A$2:$AG$9334,MATCH(R168,'Inventaire M-1'!$A:$A,0)-1,MATCH("quantite",'Inventaire M-1'!#REF!,0)))</f>
        <v>#REF!</v>
      </c>
      <c r="Y168" s="156" t="e">
        <f>IF(S168="-","",IF(ISERROR(INDEX('Inventaire M'!$A$2:$AD$9319,MATCH(R168,'Inventaire M'!$A:$A,0)-1,MATCH("quantite",'Inventaire M'!#REF!,0))),"Sell",INDEX('Inventaire M'!$A$2:$AD$9319,MATCH(R168,'Inventaire M'!$A:$A,0)-1,MATCH("quantite",'Inventaire M'!#REF!,0))))</f>
        <v>#REF!</v>
      </c>
      <c r="Z168" s="175"/>
      <c r="AA168" s="155" t="e">
        <f>IF(R168="-","",INDEX('Inventaire M-1'!$A$2:$AG$9334,MATCH(R168,'Inventaire M-1'!$A:$A,0)-1,MATCH("poids",'Inventaire M-1'!#REF!,0)))</f>
        <v>#REF!</v>
      </c>
      <c r="AB168" s="155" t="e">
        <f>IF(R168="-","",IF(ISERROR(INDEX('Inventaire M'!$A$2:$AD$9319,MATCH(R168,'Inventaire M'!$A:$A,0)-1,MATCH("poids",'Inventaire M'!#REF!,0))),"Sell",INDEX('Inventaire M'!$A$2:$AD$9319,MATCH(R168,'Inventaire M'!$A:$A,0)-1,MATCH("poids",'Inventaire M'!#REF!,0))))</f>
        <v>#REF!</v>
      </c>
      <c r="AC168" s="175"/>
      <c r="AD168" s="157" t="str">
        <f t="shared" si="15"/>
        <v>0</v>
      </c>
      <c r="AE168" s="98" t="str">
        <f t="shared" si="16"/>
        <v/>
      </c>
      <c r="AF168" s="80" t="e">
        <f t="shared" si="17"/>
        <v>#REF!</v>
      </c>
    </row>
    <row r="169" spans="2:32" outlineLevel="1">
      <c r="B169" s="175" t="e">
        <f>IF(OR('Inventaire M'!#REF!="Dispo/Liquidité Investie",'Inventaire M'!#REF!="Option/Future",'Inventaire M'!#REF!="TCN",'Inventaire M'!#REF!=""),"-",'Inventaire M'!#REF!)</f>
        <v>#REF!</v>
      </c>
      <c r="C169" s="175" t="e">
        <f>IF(OR('Inventaire M'!#REF!="Dispo/Liquidité Investie",'Inventaire M'!#REF!="Option/Future",'Inventaire M'!#REF!="TCN",'Inventaire M'!#REF!=""),"-",'Inventaire M'!#REF!)</f>
        <v>#REF!</v>
      </c>
      <c r="D169" s="175"/>
      <c r="E169" s="175" t="e">
        <f>IF(B169="-","",INDEX('Inventaire M'!$A$2:$AW$9305,MATCH(B169,'Inventaire M'!$A:$A,0)-1,MATCH("Cours EUR",'Inventaire M'!#REF!,0)))</f>
        <v>#REF!</v>
      </c>
      <c r="F169" s="175" t="e">
        <f>IF(B169="-","",IF(ISERROR(INDEX('Inventaire M-1'!$A$2:$AZ$9320,MATCH(B169,'Inventaire M-1'!$A:$A,0)-1,MATCH("Cours EUR",'Inventaire M-1'!#REF!,0))),"Buy",INDEX('Inventaire M-1'!$A$2:$AZ$9320,MATCH(B169,'Inventaire M-1'!$A:$A,0)-1,MATCH("Cours EUR",'Inventaire M-1'!#REF!,0))))</f>
        <v>#REF!</v>
      </c>
      <c r="G169" s="175"/>
      <c r="H169" s="156" t="e">
        <f>IF(B169="-","",INDEX('Inventaire M'!$A$2:$AW$9305,MATCH(B169,'Inventaire M'!$A:$A,0)-1,MATCH("quantite",'Inventaire M'!#REF!,0)))</f>
        <v>#REF!</v>
      </c>
      <c r="I169" s="156" t="e">
        <f>IF(C169="-","",IF(ISERROR(INDEX('Inventaire M-1'!$A$2:$AZ$9320,MATCH(B169,'Inventaire M-1'!$A:$A,0)-1,MATCH("quantite",'Inventaire M-1'!#REF!,0))),"Buy",INDEX('Inventaire M-1'!$A$2:$AZ$9320,MATCH(B169,'Inventaire M-1'!$A:$A,0)-1,MATCH("quantite",'Inventaire M-1'!#REF!,0))))</f>
        <v>#REF!</v>
      </c>
      <c r="J169" s="175"/>
      <c r="K169" s="155" t="e">
        <f>IF(B169="-","",INDEX('Inventaire M'!$A$2:$AW$9305,MATCH(B169,'Inventaire M'!$A:$A,0)-1,MATCH("poids",'Inventaire M'!#REF!,0)))</f>
        <v>#REF!</v>
      </c>
      <c r="L169" s="155" t="e">
        <f>IF(B169="-","",IF(ISERROR(INDEX('Inventaire M-1'!$A$2:$AZ$9320,MATCH(B169,'Inventaire M-1'!$A:$A,0)-1,MATCH("poids",'Inventaire M-1'!#REF!,0))),"Buy",INDEX('Inventaire M-1'!$A$2:$AZ$9320,MATCH(B169,'Inventaire M-1'!$A:$A,0)-1,MATCH("poids",'Inventaire M-1'!#REF!,0))))</f>
        <v>#REF!</v>
      </c>
      <c r="M169" s="175"/>
      <c r="N169" s="157" t="str">
        <f t="shared" si="12"/>
        <v>0</v>
      </c>
      <c r="O169" s="98" t="str">
        <f t="shared" si="13"/>
        <v/>
      </c>
      <c r="P169" s="80" t="e">
        <f t="shared" si="14"/>
        <v>#REF!</v>
      </c>
      <c r="Q169" s="75">
        <v>1.4500000000000001E-8</v>
      </c>
      <c r="R169" s="175" t="e">
        <f>IF(OR('Inventaire M-1'!#REF!="Dispo/Liquidité Investie",'Inventaire M-1'!#REF!="Option/Future",'Inventaire M-1'!#REF!="TCN",'Inventaire M-1'!#REF!=""),"-",'Inventaire M-1'!#REF!)</f>
        <v>#REF!</v>
      </c>
      <c r="S169" s="175" t="e">
        <f>IF(OR('Inventaire M-1'!#REF!="Dispo/Liquidité Investie",'Inventaire M-1'!#REF!="Option/Future",'Inventaire M-1'!#REF!="TCN",'Inventaire M-1'!#REF!=""),"-",'Inventaire M-1'!#REF!)</f>
        <v>#REF!</v>
      </c>
      <c r="T169" s="175"/>
      <c r="U169" s="175" t="e">
        <f>IF(R169="-","",INDEX('Inventaire M-1'!$A$2:$AG$9334,MATCH(R169,'Inventaire M-1'!$A:$A,0)-1,MATCH("Cours EUR",'Inventaire M-1'!#REF!,0)))</f>
        <v>#REF!</v>
      </c>
      <c r="V169" s="175" t="e">
        <f>IF(R169="-","",IF(ISERROR(INDEX('Inventaire M'!$A$2:$AD$9319,MATCH(R169,'Inventaire M'!$A:$A,0)-1,MATCH("Cours EUR",'Inventaire M'!#REF!,0))),"Sell",INDEX('Inventaire M'!$A$2:$AD$9319,MATCH(R169,'Inventaire M'!$A:$A,0)-1,MATCH("Cours EUR",'Inventaire M'!#REF!,0))))</f>
        <v>#REF!</v>
      </c>
      <c r="W169" s="175"/>
      <c r="X169" s="156" t="e">
        <f>IF(R169="-","",INDEX('Inventaire M-1'!$A$2:$AG$9334,MATCH(R169,'Inventaire M-1'!$A:$A,0)-1,MATCH("quantite",'Inventaire M-1'!#REF!,0)))</f>
        <v>#REF!</v>
      </c>
      <c r="Y169" s="156" t="e">
        <f>IF(S169="-","",IF(ISERROR(INDEX('Inventaire M'!$A$2:$AD$9319,MATCH(R169,'Inventaire M'!$A:$A,0)-1,MATCH("quantite",'Inventaire M'!#REF!,0))),"Sell",INDEX('Inventaire M'!$A$2:$AD$9319,MATCH(R169,'Inventaire M'!$A:$A,0)-1,MATCH("quantite",'Inventaire M'!#REF!,0))))</f>
        <v>#REF!</v>
      </c>
      <c r="Z169" s="175"/>
      <c r="AA169" s="155" t="e">
        <f>IF(R169="-","",INDEX('Inventaire M-1'!$A$2:$AG$9334,MATCH(R169,'Inventaire M-1'!$A:$A,0)-1,MATCH("poids",'Inventaire M-1'!#REF!,0)))</f>
        <v>#REF!</v>
      </c>
      <c r="AB169" s="155" t="e">
        <f>IF(R169="-","",IF(ISERROR(INDEX('Inventaire M'!$A$2:$AD$9319,MATCH(R169,'Inventaire M'!$A:$A,0)-1,MATCH("poids",'Inventaire M'!#REF!,0))),"Sell",INDEX('Inventaire M'!$A$2:$AD$9319,MATCH(R169,'Inventaire M'!$A:$A,0)-1,MATCH("poids",'Inventaire M'!#REF!,0))))</f>
        <v>#REF!</v>
      </c>
      <c r="AC169" s="175"/>
      <c r="AD169" s="157" t="str">
        <f t="shared" si="15"/>
        <v>0</v>
      </c>
      <c r="AE169" s="98" t="str">
        <f t="shared" si="16"/>
        <v/>
      </c>
      <c r="AF169" s="80" t="e">
        <f t="shared" si="17"/>
        <v>#REF!</v>
      </c>
    </row>
    <row r="170" spans="2:32" outlineLevel="1">
      <c r="B170" s="175" t="e">
        <f>IF(OR('Inventaire M'!#REF!="Dispo/Liquidité Investie",'Inventaire M'!#REF!="Option/Future",'Inventaire M'!#REF!="TCN",'Inventaire M'!#REF!=""),"-",'Inventaire M'!#REF!)</f>
        <v>#REF!</v>
      </c>
      <c r="C170" s="175" t="e">
        <f>IF(OR('Inventaire M'!#REF!="Dispo/Liquidité Investie",'Inventaire M'!#REF!="Option/Future",'Inventaire M'!#REF!="TCN",'Inventaire M'!#REF!=""),"-",'Inventaire M'!#REF!)</f>
        <v>#REF!</v>
      </c>
      <c r="D170" s="175"/>
      <c r="E170" s="175" t="e">
        <f>IF(B170="-","",INDEX('Inventaire M'!$A$2:$AW$9305,MATCH(B170,'Inventaire M'!$A:$A,0)-1,MATCH("Cours EUR",'Inventaire M'!#REF!,0)))</f>
        <v>#REF!</v>
      </c>
      <c r="F170" s="175" t="e">
        <f>IF(B170="-","",IF(ISERROR(INDEX('Inventaire M-1'!$A$2:$AZ$9320,MATCH(B170,'Inventaire M-1'!$A:$A,0)-1,MATCH("Cours EUR",'Inventaire M-1'!#REF!,0))),"Buy",INDEX('Inventaire M-1'!$A$2:$AZ$9320,MATCH(B170,'Inventaire M-1'!$A:$A,0)-1,MATCH("Cours EUR",'Inventaire M-1'!#REF!,0))))</f>
        <v>#REF!</v>
      </c>
      <c r="G170" s="175"/>
      <c r="H170" s="156" t="e">
        <f>IF(B170="-","",INDEX('Inventaire M'!$A$2:$AW$9305,MATCH(B170,'Inventaire M'!$A:$A,0)-1,MATCH("quantite",'Inventaire M'!#REF!,0)))</f>
        <v>#REF!</v>
      </c>
      <c r="I170" s="156" t="e">
        <f>IF(C170="-","",IF(ISERROR(INDEX('Inventaire M-1'!$A$2:$AZ$9320,MATCH(B170,'Inventaire M-1'!$A:$A,0)-1,MATCH("quantite",'Inventaire M-1'!#REF!,0))),"Buy",INDEX('Inventaire M-1'!$A$2:$AZ$9320,MATCH(B170,'Inventaire M-1'!$A:$A,0)-1,MATCH("quantite",'Inventaire M-1'!#REF!,0))))</f>
        <v>#REF!</v>
      </c>
      <c r="J170" s="175"/>
      <c r="K170" s="155" t="e">
        <f>IF(B170="-","",INDEX('Inventaire M'!$A$2:$AW$9305,MATCH(B170,'Inventaire M'!$A:$A,0)-1,MATCH("poids",'Inventaire M'!#REF!,0)))</f>
        <v>#REF!</v>
      </c>
      <c r="L170" s="155" t="e">
        <f>IF(B170="-","",IF(ISERROR(INDEX('Inventaire M-1'!$A$2:$AZ$9320,MATCH(B170,'Inventaire M-1'!$A:$A,0)-1,MATCH("poids",'Inventaire M-1'!#REF!,0))),"Buy",INDEX('Inventaire M-1'!$A$2:$AZ$9320,MATCH(B170,'Inventaire M-1'!$A:$A,0)-1,MATCH("poids",'Inventaire M-1'!#REF!,0))))</f>
        <v>#REF!</v>
      </c>
      <c r="M170" s="175"/>
      <c r="N170" s="157" t="str">
        <f t="shared" si="12"/>
        <v>0</v>
      </c>
      <c r="O170" s="98" t="str">
        <f t="shared" si="13"/>
        <v/>
      </c>
      <c r="P170" s="80" t="e">
        <f t="shared" si="14"/>
        <v>#REF!</v>
      </c>
      <c r="Q170" s="75">
        <v>1.46E-8</v>
      </c>
      <c r="R170" s="175" t="e">
        <f>IF(OR('Inventaire M-1'!#REF!="Dispo/Liquidité Investie",'Inventaire M-1'!#REF!="Option/Future",'Inventaire M-1'!#REF!="TCN",'Inventaire M-1'!#REF!=""),"-",'Inventaire M-1'!#REF!)</f>
        <v>#REF!</v>
      </c>
      <c r="S170" s="175" t="e">
        <f>IF(OR('Inventaire M-1'!#REF!="Dispo/Liquidité Investie",'Inventaire M-1'!#REF!="Option/Future",'Inventaire M-1'!#REF!="TCN",'Inventaire M-1'!#REF!=""),"-",'Inventaire M-1'!#REF!)</f>
        <v>#REF!</v>
      </c>
      <c r="T170" s="175"/>
      <c r="U170" s="175" t="e">
        <f>IF(R170="-","",INDEX('Inventaire M-1'!$A$2:$AG$9334,MATCH(R170,'Inventaire M-1'!$A:$A,0)-1,MATCH("Cours EUR",'Inventaire M-1'!#REF!,0)))</f>
        <v>#REF!</v>
      </c>
      <c r="V170" s="175" t="e">
        <f>IF(R170="-","",IF(ISERROR(INDEX('Inventaire M'!$A$2:$AD$9319,MATCH(R170,'Inventaire M'!$A:$A,0)-1,MATCH("Cours EUR",'Inventaire M'!#REF!,0))),"Sell",INDEX('Inventaire M'!$A$2:$AD$9319,MATCH(R170,'Inventaire M'!$A:$A,0)-1,MATCH("Cours EUR",'Inventaire M'!#REF!,0))))</f>
        <v>#REF!</v>
      </c>
      <c r="W170" s="175"/>
      <c r="X170" s="156" t="e">
        <f>IF(R170="-","",INDEX('Inventaire M-1'!$A$2:$AG$9334,MATCH(R170,'Inventaire M-1'!$A:$A,0)-1,MATCH("quantite",'Inventaire M-1'!#REF!,0)))</f>
        <v>#REF!</v>
      </c>
      <c r="Y170" s="156" t="e">
        <f>IF(S170="-","",IF(ISERROR(INDEX('Inventaire M'!$A$2:$AD$9319,MATCH(R170,'Inventaire M'!$A:$A,0)-1,MATCH("quantite",'Inventaire M'!#REF!,0))),"Sell",INDEX('Inventaire M'!$A$2:$AD$9319,MATCH(R170,'Inventaire M'!$A:$A,0)-1,MATCH("quantite",'Inventaire M'!#REF!,0))))</f>
        <v>#REF!</v>
      </c>
      <c r="Z170" s="175"/>
      <c r="AA170" s="155" t="e">
        <f>IF(R170="-","",INDEX('Inventaire M-1'!$A$2:$AG$9334,MATCH(R170,'Inventaire M-1'!$A:$A,0)-1,MATCH("poids",'Inventaire M-1'!#REF!,0)))</f>
        <v>#REF!</v>
      </c>
      <c r="AB170" s="155" t="e">
        <f>IF(R170="-","",IF(ISERROR(INDEX('Inventaire M'!$A$2:$AD$9319,MATCH(R170,'Inventaire M'!$A:$A,0)-1,MATCH("poids",'Inventaire M'!#REF!,0))),"Sell",INDEX('Inventaire M'!$A$2:$AD$9319,MATCH(R170,'Inventaire M'!$A:$A,0)-1,MATCH("poids",'Inventaire M'!#REF!,0))))</f>
        <v>#REF!</v>
      </c>
      <c r="AC170" s="175"/>
      <c r="AD170" s="157" t="str">
        <f t="shared" si="15"/>
        <v>0</v>
      </c>
      <c r="AE170" s="98" t="str">
        <f t="shared" si="16"/>
        <v/>
      </c>
      <c r="AF170" s="80" t="e">
        <f t="shared" si="17"/>
        <v>#REF!</v>
      </c>
    </row>
    <row r="171" spans="2:32" outlineLevel="1">
      <c r="B171" s="175" t="e">
        <f>IF(OR('Inventaire M'!#REF!="Dispo/Liquidité Investie",'Inventaire M'!#REF!="Option/Future",'Inventaire M'!#REF!="TCN",'Inventaire M'!#REF!=""),"-",'Inventaire M'!#REF!)</f>
        <v>#REF!</v>
      </c>
      <c r="C171" s="175" t="e">
        <f>IF(OR('Inventaire M'!#REF!="Dispo/Liquidité Investie",'Inventaire M'!#REF!="Option/Future",'Inventaire M'!#REF!="TCN",'Inventaire M'!#REF!=""),"-",'Inventaire M'!#REF!)</f>
        <v>#REF!</v>
      </c>
      <c r="D171" s="175"/>
      <c r="E171" s="175" t="e">
        <f>IF(B171="-","",INDEX('Inventaire M'!$A$2:$AW$9305,MATCH(B171,'Inventaire M'!$A:$A,0)-1,MATCH("Cours EUR",'Inventaire M'!#REF!,0)))</f>
        <v>#REF!</v>
      </c>
      <c r="F171" s="175" t="e">
        <f>IF(B171="-","",IF(ISERROR(INDEX('Inventaire M-1'!$A$2:$AZ$9320,MATCH(B171,'Inventaire M-1'!$A:$A,0)-1,MATCH("Cours EUR",'Inventaire M-1'!#REF!,0))),"Buy",INDEX('Inventaire M-1'!$A$2:$AZ$9320,MATCH(B171,'Inventaire M-1'!$A:$A,0)-1,MATCH("Cours EUR",'Inventaire M-1'!#REF!,0))))</f>
        <v>#REF!</v>
      </c>
      <c r="G171" s="175"/>
      <c r="H171" s="156" t="e">
        <f>IF(B171="-","",INDEX('Inventaire M'!$A$2:$AW$9305,MATCH(B171,'Inventaire M'!$A:$A,0)-1,MATCH("quantite",'Inventaire M'!#REF!,0)))</f>
        <v>#REF!</v>
      </c>
      <c r="I171" s="156" t="e">
        <f>IF(C171="-","",IF(ISERROR(INDEX('Inventaire M-1'!$A$2:$AZ$9320,MATCH(B171,'Inventaire M-1'!$A:$A,0)-1,MATCH("quantite",'Inventaire M-1'!#REF!,0))),"Buy",INDEX('Inventaire M-1'!$A$2:$AZ$9320,MATCH(B171,'Inventaire M-1'!$A:$A,0)-1,MATCH("quantite",'Inventaire M-1'!#REF!,0))))</f>
        <v>#REF!</v>
      </c>
      <c r="J171" s="175"/>
      <c r="K171" s="155" t="e">
        <f>IF(B171="-","",INDEX('Inventaire M'!$A$2:$AW$9305,MATCH(B171,'Inventaire M'!$A:$A,0)-1,MATCH("poids",'Inventaire M'!#REF!,0)))</f>
        <v>#REF!</v>
      </c>
      <c r="L171" s="155" t="e">
        <f>IF(B171="-","",IF(ISERROR(INDEX('Inventaire M-1'!$A$2:$AZ$9320,MATCH(B171,'Inventaire M-1'!$A:$A,0)-1,MATCH("poids",'Inventaire M-1'!#REF!,0))),"Buy",INDEX('Inventaire M-1'!$A$2:$AZ$9320,MATCH(B171,'Inventaire M-1'!$A:$A,0)-1,MATCH("poids",'Inventaire M-1'!#REF!,0))))</f>
        <v>#REF!</v>
      </c>
      <c r="M171" s="175"/>
      <c r="N171" s="157" t="str">
        <f t="shared" si="12"/>
        <v>0</v>
      </c>
      <c r="O171" s="98" t="str">
        <f t="shared" si="13"/>
        <v/>
      </c>
      <c r="P171" s="80" t="e">
        <f t="shared" si="14"/>
        <v>#REF!</v>
      </c>
      <c r="Q171" s="75">
        <v>1.4699999999999999E-8</v>
      </c>
      <c r="R171" s="175" t="e">
        <f>IF(OR('Inventaire M-1'!#REF!="Dispo/Liquidité Investie",'Inventaire M-1'!#REF!="Option/Future",'Inventaire M-1'!#REF!="TCN",'Inventaire M-1'!#REF!=""),"-",'Inventaire M-1'!#REF!)</f>
        <v>#REF!</v>
      </c>
      <c r="S171" s="175" t="e">
        <f>IF(OR('Inventaire M-1'!#REF!="Dispo/Liquidité Investie",'Inventaire M-1'!#REF!="Option/Future",'Inventaire M-1'!#REF!="TCN",'Inventaire M-1'!#REF!=""),"-",'Inventaire M-1'!#REF!)</f>
        <v>#REF!</v>
      </c>
      <c r="T171" s="175"/>
      <c r="U171" s="175" t="e">
        <f>IF(R171="-","",INDEX('Inventaire M-1'!$A$2:$AG$9334,MATCH(R171,'Inventaire M-1'!$A:$A,0)-1,MATCH("Cours EUR",'Inventaire M-1'!#REF!,0)))</f>
        <v>#REF!</v>
      </c>
      <c r="V171" s="175" t="e">
        <f>IF(R171="-","",IF(ISERROR(INDEX('Inventaire M'!$A$2:$AD$9319,MATCH(R171,'Inventaire M'!$A:$A,0)-1,MATCH("Cours EUR",'Inventaire M'!#REF!,0))),"Sell",INDEX('Inventaire M'!$A$2:$AD$9319,MATCH(R171,'Inventaire M'!$A:$A,0)-1,MATCH("Cours EUR",'Inventaire M'!#REF!,0))))</f>
        <v>#REF!</v>
      </c>
      <c r="W171" s="175"/>
      <c r="X171" s="156" t="e">
        <f>IF(R171="-","",INDEX('Inventaire M-1'!$A$2:$AG$9334,MATCH(R171,'Inventaire M-1'!$A:$A,0)-1,MATCH("quantite",'Inventaire M-1'!#REF!,0)))</f>
        <v>#REF!</v>
      </c>
      <c r="Y171" s="156" t="e">
        <f>IF(S171="-","",IF(ISERROR(INDEX('Inventaire M'!$A$2:$AD$9319,MATCH(R171,'Inventaire M'!$A:$A,0)-1,MATCH("quantite",'Inventaire M'!#REF!,0))),"Sell",INDEX('Inventaire M'!$A$2:$AD$9319,MATCH(R171,'Inventaire M'!$A:$A,0)-1,MATCH("quantite",'Inventaire M'!#REF!,0))))</f>
        <v>#REF!</v>
      </c>
      <c r="Z171" s="175"/>
      <c r="AA171" s="155" t="e">
        <f>IF(R171="-","",INDEX('Inventaire M-1'!$A$2:$AG$9334,MATCH(R171,'Inventaire M-1'!$A:$A,0)-1,MATCH("poids",'Inventaire M-1'!#REF!,0)))</f>
        <v>#REF!</v>
      </c>
      <c r="AB171" s="155" t="e">
        <f>IF(R171="-","",IF(ISERROR(INDEX('Inventaire M'!$A$2:$AD$9319,MATCH(R171,'Inventaire M'!$A:$A,0)-1,MATCH("poids",'Inventaire M'!#REF!,0))),"Sell",INDEX('Inventaire M'!$A$2:$AD$9319,MATCH(R171,'Inventaire M'!$A:$A,0)-1,MATCH("poids",'Inventaire M'!#REF!,0))))</f>
        <v>#REF!</v>
      </c>
      <c r="AC171" s="175"/>
      <c r="AD171" s="157" t="str">
        <f t="shared" si="15"/>
        <v>0</v>
      </c>
      <c r="AE171" s="98" t="str">
        <f t="shared" si="16"/>
        <v/>
      </c>
      <c r="AF171" s="80" t="e">
        <f t="shared" si="17"/>
        <v>#REF!</v>
      </c>
    </row>
    <row r="172" spans="2:32" outlineLevel="1">
      <c r="B172" s="175" t="e">
        <f>IF(OR('Inventaire M'!#REF!="Dispo/Liquidité Investie",'Inventaire M'!#REF!="Option/Future",'Inventaire M'!#REF!="TCN",'Inventaire M'!#REF!=""),"-",'Inventaire M'!#REF!)</f>
        <v>#REF!</v>
      </c>
      <c r="C172" s="175" t="e">
        <f>IF(OR('Inventaire M'!#REF!="Dispo/Liquidité Investie",'Inventaire M'!#REF!="Option/Future",'Inventaire M'!#REF!="TCN",'Inventaire M'!#REF!=""),"-",'Inventaire M'!#REF!)</f>
        <v>#REF!</v>
      </c>
      <c r="D172" s="175"/>
      <c r="E172" s="175" t="e">
        <f>IF(B172="-","",INDEX('Inventaire M'!$A$2:$AW$9305,MATCH(B172,'Inventaire M'!$A:$A,0)-1,MATCH("Cours EUR",'Inventaire M'!#REF!,0)))</f>
        <v>#REF!</v>
      </c>
      <c r="F172" s="175" t="e">
        <f>IF(B172="-","",IF(ISERROR(INDEX('Inventaire M-1'!$A$2:$AZ$9320,MATCH(B172,'Inventaire M-1'!$A:$A,0)-1,MATCH("Cours EUR",'Inventaire M-1'!#REF!,0))),"Buy",INDEX('Inventaire M-1'!$A$2:$AZ$9320,MATCH(B172,'Inventaire M-1'!$A:$A,0)-1,MATCH("Cours EUR",'Inventaire M-1'!#REF!,0))))</f>
        <v>#REF!</v>
      </c>
      <c r="G172" s="175"/>
      <c r="H172" s="156" t="e">
        <f>IF(B172="-","",INDEX('Inventaire M'!$A$2:$AW$9305,MATCH(B172,'Inventaire M'!$A:$A,0)-1,MATCH("quantite",'Inventaire M'!#REF!,0)))</f>
        <v>#REF!</v>
      </c>
      <c r="I172" s="156" t="e">
        <f>IF(C172="-","",IF(ISERROR(INDEX('Inventaire M-1'!$A$2:$AZ$9320,MATCH(B172,'Inventaire M-1'!$A:$A,0)-1,MATCH("quantite",'Inventaire M-1'!#REF!,0))),"Buy",INDEX('Inventaire M-1'!$A$2:$AZ$9320,MATCH(B172,'Inventaire M-1'!$A:$A,0)-1,MATCH("quantite",'Inventaire M-1'!#REF!,0))))</f>
        <v>#REF!</v>
      </c>
      <c r="J172" s="175"/>
      <c r="K172" s="155" t="e">
        <f>IF(B172="-","",INDEX('Inventaire M'!$A$2:$AW$9305,MATCH(B172,'Inventaire M'!$A:$A,0)-1,MATCH("poids",'Inventaire M'!#REF!,0)))</f>
        <v>#REF!</v>
      </c>
      <c r="L172" s="155" t="e">
        <f>IF(B172="-","",IF(ISERROR(INDEX('Inventaire M-1'!$A$2:$AZ$9320,MATCH(B172,'Inventaire M-1'!$A:$A,0)-1,MATCH("poids",'Inventaire M-1'!#REF!,0))),"Buy",INDEX('Inventaire M-1'!$A$2:$AZ$9320,MATCH(B172,'Inventaire M-1'!$A:$A,0)-1,MATCH("poids",'Inventaire M-1'!#REF!,0))))</f>
        <v>#REF!</v>
      </c>
      <c r="M172" s="175"/>
      <c r="N172" s="157" t="str">
        <f t="shared" si="12"/>
        <v>0</v>
      </c>
      <c r="O172" s="98" t="str">
        <f t="shared" si="13"/>
        <v/>
      </c>
      <c r="P172" s="80" t="e">
        <f t="shared" si="14"/>
        <v>#REF!</v>
      </c>
      <c r="Q172" s="75">
        <v>1.48E-8</v>
      </c>
      <c r="R172" s="175" t="e">
        <f>IF(OR('Inventaire M-1'!#REF!="Dispo/Liquidité Investie",'Inventaire M-1'!#REF!="Option/Future",'Inventaire M-1'!#REF!="TCN",'Inventaire M-1'!#REF!=""),"-",'Inventaire M-1'!#REF!)</f>
        <v>#REF!</v>
      </c>
      <c r="S172" s="175" t="e">
        <f>IF(OR('Inventaire M-1'!#REF!="Dispo/Liquidité Investie",'Inventaire M-1'!#REF!="Option/Future",'Inventaire M-1'!#REF!="TCN",'Inventaire M-1'!#REF!=""),"-",'Inventaire M-1'!#REF!)</f>
        <v>#REF!</v>
      </c>
      <c r="T172" s="175"/>
      <c r="U172" s="175" t="e">
        <f>IF(R172="-","",INDEX('Inventaire M-1'!$A$2:$AG$9334,MATCH(R172,'Inventaire M-1'!$A:$A,0)-1,MATCH("Cours EUR",'Inventaire M-1'!#REF!,0)))</f>
        <v>#REF!</v>
      </c>
      <c r="V172" s="175" t="e">
        <f>IF(R172="-","",IF(ISERROR(INDEX('Inventaire M'!$A$2:$AD$9319,MATCH(R172,'Inventaire M'!$A:$A,0)-1,MATCH("Cours EUR",'Inventaire M'!#REF!,0))),"Sell",INDEX('Inventaire M'!$A$2:$AD$9319,MATCH(R172,'Inventaire M'!$A:$A,0)-1,MATCH("Cours EUR",'Inventaire M'!#REF!,0))))</f>
        <v>#REF!</v>
      </c>
      <c r="W172" s="175"/>
      <c r="X172" s="156" t="e">
        <f>IF(R172="-","",INDEX('Inventaire M-1'!$A$2:$AG$9334,MATCH(R172,'Inventaire M-1'!$A:$A,0)-1,MATCH("quantite",'Inventaire M-1'!#REF!,0)))</f>
        <v>#REF!</v>
      </c>
      <c r="Y172" s="156" t="e">
        <f>IF(S172="-","",IF(ISERROR(INDEX('Inventaire M'!$A$2:$AD$9319,MATCH(R172,'Inventaire M'!$A:$A,0)-1,MATCH("quantite",'Inventaire M'!#REF!,0))),"Sell",INDEX('Inventaire M'!$A$2:$AD$9319,MATCH(R172,'Inventaire M'!$A:$A,0)-1,MATCH("quantite",'Inventaire M'!#REF!,0))))</f>
        <v>#REF!</v>
      </c>
      <c r="Z172" s="175"/>
      <c r="AA172" s="155" t="e">
        <f>IF(R172="-","",INDEX('Inventaire M-1'!$A$2:$AG$9334,MATCH(R172,'Inventaire M-1'!$A:$A,0)-1,MATCH("poids",'Inventaire M-1'!#REF!,0)))</f>
        <v>#REF!</v>
      </c>
      <c r="AB172" s="155" t="e">
        <f>IF(R172="-","",IF(ISERROR(INDEX('Inventaire M'!$A$2:$AD$9319,MATCH(R172,'Inventaire M'!$A:$A,0)-1,MATCH("poids",'Inventaire M'!#REF!,0))),"Sell",INDEX('Inventaire M'!$A$2:$AD$9319,MATCH(R172,'Inventaire M'!$A:$A,0)-1,MATCH("poids",'Inventaire M'!#REF!,0))))</f>
        <v>#REF!</v>
      </c>
      <c r="AC172" s="175"/>
      <c r="AD172" s="157" t="str">
        <f t="shared" si="15"/>
        <v>0</v>
      </c>
      <c r="AE172" s="98" t="str">
        <f t="shared" si="16"/>
        <v/>
      </c>
      <c r="AF172" s="80" t="e">
        <f t="shared" si="17"/>
        <v>#REF!</v>
      </c>
    </row>
    <row r="173" spans="2:32" outlineLevel="1">
      <c r="B173" s="175" t="e">
        <f>IF(OR('Inventaire M'!#REF!="Dispo/Liquidité Investie",'Inventaire M'!#REF!="Option/Future",'Inventaire M'!#REF!="TCN",'Inventaire M'!#REF!=""),"-",'Inventaire M'!#REF!)</f>
        <v>#REF!</v>
      </c>
      <c r="C173" s="175" t="e">
        <f>IF(OR('Inventaire M'!#REF!="Dispo/Liquidité Investie",'Inventaire M'!#REF!="Option/Future",'Inventaire M'!#REF!="TCN",'Inventaire M'!#REF!=""),"-",'Inventaire M'!#REF!)</f>
        <v>#REF!</v>
      </c>
      <c r="D173" s="175"/>
      <c r="E173" s="175" t="e">
        <f>IF(B173="-","",INDEX('Inventaire M'!$A$2:$AW$9305,MATCH(B173,'Inventaire M'!$A:$A,0)-1,MATCH("Cours EUR",'Inventaire M'!#REF!,0)))</f>
        <v>#REF!</v>
      </c>
      <c r="F173" s="175" t="e">
        <f>IF(B173="-","",IF(ISERROR(INDEX('Inventaire M-1'!$A$2:$AZ$9320,MATCH(B173,'Inventaire M-1'!$A:$A,0)-1,MATCH("Cours EUR",'Inventaire M-1'!#REF!,0))),"Buy",INDEX('Inventaire M-1'!$A$2:$AZ$9320,MATCH(B173,'Inventaire M-1'!$A:$A,0)-1,MATCH("Cours EUR",'Inventaire M-1'!#REF!,0))))</f>
        <v>#REF!</v>
      </c>
      <c r="G173" s="175"/>
      <c r="H173" s="156" t="e">
        <f>IF(B173="-","",INDEX('Inventaire M'!$A$2:$AW$9305,MATCH(B173,'Inventaire M'!$A:$A,0)-1,MATCH("quantite",'Inventaire M'!#REF!,0)))</f>
        <v>#REF!</v>
      </c>
      <c r="I173" s="156" t="e">
        <f>IF(C173="-","",IF(ISERROR(INDEX('Inventaire M-1'!$A$2:$AZ$9320,MATCH(B173,'Inventaire M-1'!$A:$A,0)-1,MATCH("quantite",'Inventaire M-1'!#REF!,0))),"Buy",INDEX('Inventaire M-1'!$A$2:$AZ$9320,MATCH(B173,'Inventaire M-1'!$A:$A,0)-1,MATCH("quantite",'Inventaire M-1'!#REF!,0))))</f>
        <v>#REF!</v>
      </c>
      <c r="J173" s="175"/>
      <c r="K173" s="155" t="e">
        <f>IF(B173="-","",INDEX('Inventaire M'!$A$2:$AW$9305,MATCH(B173,'Inventaire M'!$A:$A,0)-1,MATCH("poids",'Inventaire M'!#REF!,0)))</f>
        <v>#REF!</v>
      </c>
      <c r="L173" s="155" t="e">
        <f>IF(B173="-","",IF(ISERROR(INDEX('Inventaire M-1'!$A$2:$AZ$9320,MATCH(B173,'Inventaire M-1'!$A:$A,0)-1,MATCH("poids",'Inventaire M-1'!#REF!,0))),"Buy",INDEX('Inventaire M-1'!$A$2:$AZ$9320,MATCH(B173,'Inventaire M-1'!$A:$A,0)-1,MATCH("poids",'Inventaire M-1'!#REF!,0))))</f>
        <v>#REF!</v>
      </c>
      <c r="M173" s="175"/>
      <c r="N173" s="157" t="str">
        <f t="shared" si="12"/>
        <v>0</v>
      </c>
      <c r="O173" s="98" t="str">
        <f t="shared" si="13"/>
        <v/>
      </c>
      <c r="P173" s="80" t="e">
        <f t="shared" si="14"/>
        <v>#REF!</v>
      </c>
      <c r="Q173" s="75">
        <v>1.4899999999999999E-8</v>
      </c>
      <c r="R173" s="175" t="e">
        <f>IF(OR('Inventaire M-1'!#REF!="Dispo/Liquidité Investie",'Inventaire M-1'!#REF!="Option/Future",'Inventaire M-1'!#REF!="TCN",'Inventaire M-1'!#REF!=""),"-",'Inventaire M-1'!#REF!)</f>
        <v>#REF!</v>
      </c>
      <c r="S173" s="175" t="e">
        <f>IF(OR('Inventaire M-1'!#REF!="Dispo/Liquidité Investie",'Inventaire M-1'!#REF!="Option/Future",'Inventaire M-1'!#REF!="TCN",'Inventaire M-1'!#REF!=""),"-",'Inventaire M-1'!#REF!)</f>
        <v>#REF!</v>
      </c>
      <c r="T173" s="175"/>
      <c r="U173" s="175" t="e">
        <f>IF(R173="-","",INDEX('Inventaire M-1'!$A$2:$AG$9334,MATCH(R173,'Inventaire M-1'!$A:$A,0)-1,MATCH("Cours EUR",'Inventaire M-1'!#REF!,0)))</f>
        <v>#REF!</v>
      </c>
      <c r="V173" s="175" t="e">
        <f>IF(R173="-","",IF(ISERROR(INDEX('Inventaire M'!$A$2:$AD$9319,MATCH(R173,'Inventaire M'!$A:$A,0)-1,MATCH("Cours EUR",'Inventaire M'!#REF!,0))),"Sell",INDEX('Inventaire M'!$A$2:$AD$9319,MATCH(R173,'Inventaire M'!$A:$A,0)-1,MATCH("Cours EUR",'Inventaire M'!#REF!,0))))</f>
        <v>#REF!</v>
      </c>
      <c r="W173" s="175"/>
      <c r="X173" s="156" t="e">
        <f>IF(R173="-","",INDEX('Inventaire M-1'!$A$2:$AG$9334,MATCH(R173,'Inventaire M-1'!$A:$A,0)-1,MATCH("quantite",'Inventaire M-1'!#REF!,0)))</f>
        <v>#REF!</v>
      </c>
      <c r="Y173" s="156" t="e">
        <f>IF(S173="-","",IF(ISERROR(INDEX('Inventaire M'!$A$2:$AD$9319,MATCH(R173,'Inventaire M'!$A:$A,0)-1,MATCH("quantite",'Inventaire M'!#REF!,0))),"Sell",INDEX('Inventaire M'!$A$2:$AD$9319,MATCH(R173,'Inventaire M'!$A:$A,0)-1,MATCH("quantite",'Inventaire M'!#REF!,0))))</f>
        <v>#REF!</v>
      </c>
      <c r="Z173" s="175"/>
      <c r="AA173" s="155" t="e">
        <f>IF(R173="-","",INDEX('Inventaire M-1'!$A$2:$AG$9334,MATCH(R173,'Inventaire M-1'!$A:$A,0)-1,MATCH("poids",'Inventaire M-1'!#REF!,0)))</f>
        <v>#REF!</v>
      </c>
      <c r="AB173" s="155" t="e">
        <f>IF(R173="-","",IF(ISERROR(INDEX('Inventaire M'!$A$2:$AD$9319,MATCH(R173,'Inventaire M'!$A:$A,0)-1,MATCH("poids",'Inventaire M'!#REF!,0))),"Sell",INDEX('Inventaire M'!$A$2:$AD$9319,MATCH(R173,'Inventaire M'!$A:$A,0)-1,MATCH("poids",'Inventaire M'!#REF!,0))))</f>
        <v>#REF!</v>
      </c>
      <c r="AC173" s="175"/>
      <c r="AD173" s="157" t="str">
        <f t="shared" si="15"/>
        <v>0</v>
      </c>
      <c r="AE173" s="98" t="str">
        <f t="shared" si="16"/>
        <v/>
      </c>
      <c r="AF173" s="80" t="e">
        <f t="shared" si="17"/>
        <v>#REF!</v>
      </c>
    </row>
    <row r="174" spans="2:32" outlineLevel="1">
      <c r="B174" s="175" t="e">
        <f>IF(OR('Inventaire M'!#REF!="Dispo/Liquidité Investie",'Inventaire M'!#REF!="Option/Future",'Inventaire M'!#REF!="TCN",'Inventaire M'!#REF!=""),"-",'Inventaire M'!#REF!)</f>
        <v>#REF!</v>
      </c>
      <c r="C174" s="175" t="e">
        <f>IF(OR('Inventaire M'!#REF!="Dispo/Liquidité Investie",'Inventaire M'!#REF!="Option/Future",'Inventaire M'!#REF!="TCN",'Inventaire M'!#REF!=""),"-",'Inventaire M'!#REF!)</f>
        <v>#REF!</v>
      </c>
      <c r="D174" s="175"/>
      <c r="E174" s="175" t="e">
        <f>IF(B174="-","",INDEX('Inventaire M'!$A$2:$AW$9305,MATCH(B174,'Inventaire M'!$A:$A,0)-1,MATCH("Cours EUR",'Inventaire M'!#REF!,0)))</f>
        <v>#REF!</v>
      </c>
      <c r="F174" s="175" t="e">
        <f>IF(B174="-","",IF(ISERROR(INDEX('Inventaire M-1'!$A$2:$AZ$9320,MATCH(B174,'Inventaire M-1'!$A:$A,0)-1,MATCH("Cours EUR",'Inventaire M-1'!#REF!,0))),"Buy",INDEX('Inventaire M-1'!$A$2:$AZ$9320,MATCH(B174,'Inventaire M-1'!$A:$A,0)-1,MATCH("Cours EUR",'Inventaire M-1'!#REF!,0))))</f>
        <v>#REF!</v>
      </c>
      <c r="G174" s="175"/>
      <c r="H174" s="156" t="e">
        <f>IF(B174="-","",INDEX('Inventaire M'!$A$2:$AW$9305,MATCH(B174,'Inventaire M'!$A:$A,0)-1,MATCH("quantite",'Inventaire M'!#REF!,0)))</f>
        <v>#REF!</v>
      </c>
      <c r="I174" s="156" t="e">
        <f>IF(C174="-","",IF(ISERROR(INDEX('Inventaire M-1'!$A$2:$AZ$9320,MATCH(B174,'Inventaire M-1'!$A:$A,0)-1,MATCH("quantite",'Inventaire M-1'!#REF!,0))),"Buy",INDEX('Inventaire M-1'!$A$2:$AZ$9320,MATCH(B174,'Inventaire M-1'!$A:$A,0)-1,MATCH("quantite",'Inventaire M-1'!#REF!,0))))</f>
        <v>#REF!</v>
      </c>
      <c r="J174" s="175"/>
      <c r="K174" s="155" t="e">
        <f>IF(B174="-","",INDEX('Inventaire M'!$A$2:$AW$9305,MATCH(B174,'Inventaire M'!$A:$A,0)-1,MATCH("poids",'Inventaire M'!#REF!,0)))</f>
        <v>#REF!</v>
      </c>
      <c r="L174" s="155" t="e">
        <f>IF(B174="-","",IF(ISERROR(INDEX('Inventaire M-1'!$A$2:$AZ$9320,MATCH(B174,'Inventaire M-1'!$A:$A,0)-1,MATCH("poids",'Inventaire M-1'!#REF!,0))),"Buy",INDEX('Inventaire M-1'!$A$2:$AZ$9320,MATCH(B174,'Inventaire M-1'!$A:$A,0)-1,MATCH("poids",'Inventaire M-1'!#REF!,0))))</f>
        <v>#REF!</v>
      </c>
      <c r="M174" s="175"/>
      <c r="N174" s="157" t="str">
        <f t="shared" si="12"/>
        <v>0</v>
      </c>
      <c r="O174" s="98" t="str">
        <f t="shared" si="13"/>
        <v/>
      </c>
      <c r="P174" s="80" t="e">
        <f t="shared" si="14"/>
        <v>#REF!</v>
      </c>
      <c r="Q174" s="75">
        <v>1.4999999999999999E-8</v>
      </c>
      <c r="R174" s="175" t="e">
        <f>IF(OR('Inventaire M-1'!#REF!="Dispo/Liquidité Investie",'Inventaire M-1'!#REF!="Option/Future",'Inventaire M-1'!#REF!="TCN",'Inventaire M-1'!#REF!=""),"-",'Inventaire M-1'!#REF!)</f>
        <v>#REF!</v>
      </c>
      <c r="S174" s="175" t="e">
        <f>IF(OR('Inventaire M-1'!#REF!="Dispo/Liquidité Investie",'Inventaire M-1'!#REF!="Option/Future",'Inventaire M-1'!#REF!="TCN",'Inventaire M-1'!#REF!=""),"-",'Inventaire M-1'!#REF!)</f>
        <v>#REF!</v>
      </c>
      <c r="T174" s="175"/>
      <c r="U174" s="175" t="e">
        <f>IF(R174="-","",INDEX('Inventaire M-1'!$A$2:$AG$9334,MATCH(R174,'Inventaire M-1'!$A:$A,0)-1,MATCH("Cours EUR",'Inventaire M-1'!#REF!,0)))</f>
        <v>#REF!</v>
      </c>
      <c r="V174" s="175" t="e">
        <f>IF(R174="-","",IF(ISERROR(INDEX('Inventaire M'!$A$2:$AD$9319,MATCH(R174,'Inventaire M'!$A:$A,0)-1,MATCH("Cours EUR",'Inventaire M'!#REF!,0))),"Sell",INDEX('Inventaire M'!$A$2:$AD$9319,MATCH(R174,'Inventaire M'!$A:$A,0)-1,MATCH("Cours EUR",'Inventaire M'!#REF!,0))))</f>
        <v>#REF!</v>
      </c>
      <c r="W174" s="175"/>
      <c r="X174" s="156" t="e">
        <f>IF(R174="-","",INDEX('Inventaire M-1'!$A$2:$AG$9334,MATCH(R174,'Inventaire M-1'!$A:$A,0)-1,MATCH("quantite",'Inventaire M-1'!#REF!,0)))</f>
        <v>#REF!</v>
      </c>
      <c r="Y174" s="156" t="e">
        <f>IF(S174="-","",IF(ISERROR(INDEX('Inventaire M'!$A$2:$AD$9319,MATCH(R174,'Inventaire M'!$A:$A,0)-1,MATCH("quantite",'Inventaire M'!#REF!,0))),"Sell",INDEX('Inventaire M'!$A$2:$AD$9319,MATCH(R174,'Inventaire M'!$A:$A,0)-1,MATCH("quantite",'Inventaire M'!#REF!,0))))</f>
        <v>#REF!</v>
      </c>
      <c r="Z174" s="175"/>
      <c r="AA174" s="155" t="e">
        <f>IF(R174="-","",INDEX('Inventaire M-1'!$A$2:$AG$9334,MATCH(R174,'Inventaire M-1'!$A:$A,0)-1,MATCH("poids",'Inventaire M-1'!#REF!,0)))</f>
        <v>#REF!</v>
      </c>
      <c r="AB174" s="155" t="e">
        <f>IF(R174="-","",IF(ISERROR(INDEX('Inventaire M'!$A$2:$AD$9319,MATCH(R174,'Inventaire M'!$A:$A,0)-1,MATCH("poids",'Inventaire M'!#REF!,0))),"Sell",INDEX('Inventaire M'!$A$2:$AD$9319,MATCH(R174,'Inventaire M'!$A:$A,0)-1,MATCH("poids",'Inventaire M'!#REF!,0))))</f>
        <v>#REF!</v>
      </c>
      <c r="AC174" s="175"/>
      <c r="AD174" s="157" t="str">
        <f t="shared" si="15"/>
        <v>0</v>
      </c>
      <c r="AE174" s="98" t="str">
        <f t="shared" si="16"/>
        <v/>
      </c>
      <c r="AF174" s="80" t="e">
        <f t="shared" si="17"/>
        <v>#REF!</v>
      </c>
    </row>
    <row r="175" spans="2:32" outlineLevel="1">
      <c r="B175" s="175" t="e">
        <f>IF(OR('Inventaire M'!#REF!="Dispo/Liquidité Investie",'Inventaire M'!#REF!="Option/Future",'Inventaire M'!#REF!="TCN",'Inventaire M'!#REF!=""),"-",'Inventaire M'!#REF!)</f>
        <v>#REF!</v>
      </c>
      <c r="C175" s="175" t="e">
        <f>IF(OR('Inventaire M'!#REF!="Dispo/Liquidité Investie",'Inventaire M'!#REF!="Option/Future",'Inventaire M'!#REF!="TCN",'Inventaire M'!#REF!=""),"-",'Inventaire M'!#REF!)</f>
        <v>#REF!</v>
      </c>
      <c r="D175" s="175"/>
      <c r="E175" s="175" t="e">
        <f>IF(B175="-","",INDEX('Inventaire M'!$A$2:$AW$9305,MATCH(B175,'Inventaire M'!$A:$A,0)-1,MATCH("Cours EUR",'Inventaire M'!#REF!,0)))</f>
        <v>#REF!</v>
      </c>
      <c r="F175" s="175" t="e">
        <f>IF(B175="-","",IF(ISERROR(INDEX('Inventaire M-1'!$A$2:$AZ$9320,MATCH(B175,'Inventaire M-1'!$A:$A,0)-1,MATCH("Cours EUR",'Inventaire M-1'!#REF!,0))),"Buy",INDEX('Inventaire M-1'!$A$2:$AZ$9320,MATCH(B175,'Inventaire M-1'!$A:$A,0)-1,MATCH("Cours EUR",'Inventaire M-1'!#REF!,0))))</f>
        <v>#REF!</v>
      </c>
      <c r="G175" s="175"/>
      <c r="H175" s="156" t="e">
        <f>IF(B175="-","",INDEX('Inventaire M'!$A$2:$AW$9305,MATCH(B175,'Inventaire M'!$A:$A,0)-1,MATCH("quantite",'Inventaire M'!#REF!,0)))</f>
        <v>#REF!</v>
      </c>
      <c r="I175" s="156" t="e">
        <f>IF(C175="-","",IF(ISERROR(INDEX('Inventaire M-1'!$A$2:$AZ$9320,MATCH(B175,'Inventaire M-1'!$A:$A,0)-1,MATCH("quantite",'Inventaire M-1'!#REF!,0))),"Buy",INDEX('Inventaire M-1'!$A$2:$AZ$9320,MATCH(B175,'Inventaire M-1'!$A:$A,0)-1,MATCH("quantite",'Inventaire M-1'!#REF!,0))))</f>
        <v>#REF!</v>
      </c>
      <c r="J175" s="175"/>
      <c r="K175" s="155" t="e">
        <f>IF(B175="-","",INDEX('Inventaire M'!$A$2:$AW$9305,MATCH(B175,'Inventaire M'!$A:$A,0)-1,MATCH("poids",'Inventaire M'!#REF!,0)))</f>
        <v>#REF!</v>
      </c>
      <c r="L175" s="155" t="e">
        <f>IF(B175="-","",IF(ISERROR(INDEX('Inventaire M-1'!$A$2:$AZ$9320,MATCH(B175,'Inventaire M-1'!$A:$A,0)-1,MATCH("poids",'Inventaire M-1'!#REF!,0))),"Buy",INDEX('Inventaire M-1'!$A$2:$AZ$9320,MATCH(B175,'Inventaire M-1'!$A:$A,0)-1,MATCH("poids",'Inventaire M-1'!#REF!,0))))</f>
        <v>#REF!</v>
      </c>
      <c r="M175" s="175"/>
      <c r="N175" s="157" t="str">
        <f t="shared" si="12"/>
        <v>0</v>
      </c>
      <c r="O175" s="98" t="str">
        <f t="shared" si="13"/>
        <v/>
      </c>
      <c r="P175" s="80" t="e">
        <f t="shared" si="14"/>
        <v>#REF!</v>
      </c>
      <c r="Q175" s="75">
        <v>1.51E-8</v>
      </c>
      <c r="R175" s="175" t="e">
        <f>IF(OR('Inventaire M-1'!#REF!="Dispo/Liquidité Investie",'Inventaire M-1'!#REF!="Option/Future",'Inventaire M-1'!#REF!="TCN",'Inventaire M-1'!#REF!=""),"-",'Inventaire M-1'!#REF!)</f>
        <v>#REF!</v>
      </c>
      <c r="S175" s="175" t="e">
        <f>IF(OR('Inventaire M-1'!#REF!="Dispo/Liquidité Investie",'Inventaire M-1'!#REF!="Option/Future",'Inventaire M-1'!#REF!="TCN",'Inventaire M-1'!#REF!=""),"-",'Inventaire M-1'!#REF!)</f>
        <v>#REF!</v>
      </c>
      <c r="T175" s="175"/>
      <c r="U175" s="175" t="e">
        <f>IF(R175="-","",INDEX('Inventaire M-1'!$A$2:$AG$9334,MATCH(R175,'Inventaire M-1'!$A:$A,0)-1,MATCH("Cours EUR",'Inventaire M-1'!#REF!,0)))</f>
        <v>#REF!</v>
      </c>
      <c r="V175" s="175" t="e">
        <f>IF(R175="-","",IF(ISERROR(INDEX('Inventaire M'!$A$2:$AD$9319,MATCH(R175,'Inventaire M'!$A:$A,0)-1,MATCH("Cours EUR",'Inventaire M'!#REF!,0))),"Sell",INDEX('Inventaire M'!$A$2:$AD$9319,MATCH(R175,'Inventaire M'!$A:$A,0)-1,MATCH("Cours EUR",'Inventaire M'!#REF!,0))))</f>
        <v>#REF!</v>
      </c>
      <c r="W175" s="175"/>
      <c r="X175" s="156" t="e">
        <f>IF(R175="-","",INDEX('Inventaire M-1'!$A$2:$AG$9334,MATCH(R175,'Inventaire M-1'!$A:$A,0)-1,MATCH("quantite",'Inventaire M-1'!#REF!,0)))</f>
        <v>#REF!</v>
      </c>
      <c r="Y175" s="156" t="e">
        <f>IF(S175="-","",IF(ISERROR(INDEX('Inventaire M'!$A$2:$AD$9319,MATCH(R175,'Inventaire M'!$A:$A,0)-1,MATCH("quantite",'Inventaire M'!#REF!,0))),"Sell",INDEX('Inventaire M'!$A$2:$AD$9319,MATCH(R175,'Inventaire M'!$A:$A,0)-1,MATCH("quantite",'Inventaire M'!#REF!,0))))</f>
        <v>#REF!</v>
      </c>
      <c r="Z175" s="175"/>
      <c r="AA175" s="155" t="e">
        <f>IF(R175="-","",INDEX('Inventaire M-1'!$A$2:$AG$9334,MATCH(R175,'Inventaire M-1'!$A:$A,0)-1,MATCH("poids",'Inventaire M-1'!#REF!,0)))</f>
        <v>#REF!</v>
      </c>
      <c r="AB175" s="155" t="e">
        <f>IF(R175="-","",IF(ISERROR(INDEX('Inventaire M'!$A$2:$AD$9319,MATCH(R175,'Inventaire M'!$A:$A,0)-1,MATCH("poids",'Inventaire M'!#REF!,0))),"Sell",INDEX('Inventaire M'!$A$2:$AD$9319,MATCH(R175,'Inventaire M'!$A:$A,0)-1,MATCH("poids",'Inventaire M'!#REF!,0))))</f>
        <v>#REF!</v>
      </c>
      <c r="AC175" s="175"/>
      <c r="AD175" s="157" t="str">
        <f t="shared" si="15"/>
        <v>0</v>
      </c>
      <c r="AE175" s="98" t="str">
        <f t="shared" si="16"/>
        <v/>
      </c>
      <c r="AF175" s="80" t="e">
        <f t="shared" si="17"/>
        <v>#REF!</v>
      </c>
    </row>
    <row r="176" spans="2:32" outlineLevel="1">
      <c r="B176" s="175" t="e">
        <f>IF(OR('Inventaire M'!#REF!="Dispo/Liquidité Investie",'Inventaire M'!#REF!="Option/Future",'Inventaire M'!#REF!="TCN",'Inventaire M'!#REF!=""),"-",'Inventaire M'!#REF!)</f>
        <v>#REF!</v>
      </c>
      <c r="C176" s="175" t="e">
        <f>IF(OR('Inventaire M'!#REF!="Dispo/Liquidité Investie",'Inventaire M'!#REF!="Option/Future",'Inventaire M'!#REF!="TCN",'Inventaire M'!#REF!=""),"-",'Inventaire M'!#REF!)</f>
        <v>#REF!</v>
      </c>
      <c r="D176" s="175"/>
      <c r="E176" s="175" t="e">
        <f>IF(B176="-","",INDEX('Inventaire M'!$A$2:$AW$9305,MATCH(B176,'Inventaire M'!$A:$A,0)-1,MATCH("Cours EUR",'Inventaire M'!#REF!,0)))</f>
        <v>#REF!</v>
      </c>
      <c r="F176" s="175" t="e">
        <f>IF(B176="-","",IF(ISERROR(INDEX('Inventaire M-1'!$A$2:$AZ$9320,MATCH(B176,'Inventaire M-1'!$A:$A,0)-1,MATCH("Cours EUR",'Inventaire M-1'!#REF!,0))),"Buy",INDEX('Inventaire M-1'!$A$2:$AZ$9320,MATCH(B176,'Inventaire M-1'!$A:$A,0)-1,MATCH("Cours EUR",'Inventaire M-1'!#REF!,0))))</f>
        <v>#REF!</v>
      </c>
      <c r="G176" s="175"/>
      <c r="H176" s="156" t="e">
        <f>IF(B176="-","",INDEX('Inventaire M'!$A$2:$AW$9305,MATCH(B176,'Inventaire M'!$A:$A,0)-1,MATCH("quantite",'Inventaire M'!#REF!,0)))</f>
        <v>#REF!</v>
      </c>
      <c r="I176" s="156" t="e">
        <f>IF(C176="-","",IF(ISERROR(INDEX('Inventaire M-1'!$A$2:$AZ$9320,MATCH(B176,'Inventaire M-1'!$A:$A,0)-1,MATCH("quantite",'Inventaire M-1'!#REF!,0))),"Buy",INDEX('Inventaire M-1'!$A$2:$AZ$9320,MATCH(B176,'Inventaire M-1'!$A:$A,0)-1,MATCH("quantite",'Inventaire M-1'!#REF!,0))))</f>
        <v>#REF!</v>
      </c>
      <c r="J176" s="175"/>
      <c r="K176" s="155" t="e">
        <f>IF(B176="-","",INDEX('Inventaire M'!$A$2:$AW$9305,MATCH(B176,'Inventaire M'!$A:$A,0)-1,MATCH("poids",'Inventaire M'!#REF!,0)))</f>
        <v>#REF!</v>
      </c>
      <c r="L176" s="155" t="e">
        <f>IF(B176="-","",IF(ISERROR(INDEX('Inventaire M-1'!$A$2:$AZ$9320,MATCH(B176,'Inventaire M-1'!$A:$A,0)-1,MATCH("poids",'Inventaire M-1'!#REF!,0))),"Buy",INDEX('Inventaire M-1'!$A$2:$AZ$9320,MATCH(B176,'Inventaire M-1'!$A:$A,0)-1,MATCH("poids",'Inventaire M-1'!#REF!,0))))</f>
        <v>#REF!</v>
      </c>
      <c r="M176" s="175"/>
      <c r="N176" s="157" t="str">
        <f t="shared" si="12"/>
        <v>0</v>
      </c>
      <c r="O176" s="98" t="str">
        <f t="shared" si="13"/>
        <v/>
      </c>
      <c r="P176" s="80" t="e">
        <f t="shared" si="14"/>
        <v>#REF!</v>
      </c>
      <c r="Q176" s="75">
        <v>1.52E-8</v>
      </c>
      <c r="R176" s="175" t="e">
        <f>IF(OR('Inventaire M-1'!#REF!="Dispo/Liquidité Investie",'Inventaire M-1'!#REF!="Option/Future",'Inventaire M-1'!#REF!="TCN",'Inventaire M-1'!#REF!=""),"-",'Inventaire M-1'!#REF!)</f>
        <v>#REF!</v>
      </c>
      <c r="S176" s="175" t="e">
        <f>IF(OR('Inventaire M-1'!#REF!="Dispo/Liquidité Investie",'Inventaire M-1'!#REF!="Option/Future",'Inventaire M-1'!#REF!="TCN",'Inventaire M-1'!#REF!=""),"-",'Inventaire M-1'!#REF!)</f>
        <v>#REF!</v>
      </c>
      <c r="T176" s="175"/>
      <c r="U176" s="175" t="e">
        <f>IF(R176="-","",INDEX('Inventaire M-1'!$A$2:$AG$9334,MATCH(R176,'Inventaire M-1'!$A:$A,0)-1,MATCH("Cours EUR",'Inventaire M-1'!#REF!,0)))</f>
        <v>#REF!</v>
      </c>
      <c r="V176" s="175" t="e">
        <f>IF(R176="-","",IF(ISERROR(INDEX('Inventaire M'!$A$2:$AD$9319,MATCH(R176,'Inventaire M'!$A:$A,0)-1,MATCH("Cours EUR",'Inventaire M'!#REF!,0))),"Sell",INDEX('Inventaire M'!$A$2:$AD$9319,MATCH(R176,'Inventaire M'!$A:$A,0)-1,MATCH("Cours EUR",'Inventaire M'!#REF!,0))))</f>
        <v>#REF!</v>
      </c>
      <c r="W176" s="175"/>
      <c r="X176" s="156" t="e">
        <f>IF(R176="-","",INDEX('Inventaire M-1'!$A$2:$AG$9334,MATCH(R176,'Inventaire M-1'!$A:$A,0)-1,MATCH("quantite",'Inventaire M-1'!#REF!,0)))</f>
        <v>#REF!</v>
      </c>
      <c r="Y176" s="156" t="e">
        <f>IF(S176="-","",IF(ISERROR(INDEX('Inventaire M'!$A$2:$AD$9319,MATCH(R176,'Inventaire M'!$A:$A,0)-1,MATCH("quantite",'Inventaire M'!#REF!,0))),"Sell",INDEX('Inventaire M'!$A$2:$AD$9319,MATCH(R176,'Inventaire M'!$A:$A,0)-1,MATCH("quantite",'Inventaire M'!#REF!,0))))</f>
        <v>#REF!</v>
      </c>
      <c r="Z176" s="175"/>
      <c r="AA176" s="155" t="e">
        <f>IF(R176="-","",INDEX('Inventaire M-1'!$A$2:$AG$9334,MATCH(R176,'Inventaire M-1'!$A:$A,0)-1,MATCH("poids",'Inventaire M-1'!#REF!,0)))</f>
        <v>#REF!</v>
      </c>
      <c r="AB176" s="155" t="e">
        <f>IF(R176="-","",IF(ISERROR(INDEX('Inventaire M'!$A$2:$AD$9319,MATCH(R176,'Inventaire M'!$A:$A,0)-1,MATCH("poids",'Inventaire M'!#REF!,0))),"Sell",INDEX('Inventaire M'!$A$2:$AD$9319,MATCH(R176,'Inventaire M'!$A:$A,0)-1,MATCH("poids",'Inventaire M'!#REF!,0))))</f>
        <v>#REF!</v>
      </c>
      <c r="AC176" s="175"/>
      <c r="AD176" s="157" t="str">
        <f t="shared" si="15"/>
        <v>0</v>
      </c>
      <c r="AE176" s="98" t="str">
        <f t="shared" si="16"/>
        <v/>
      </c>
      <c r="AF176" s="80" t="e">
        <f t="shared" si="17"/>
        <v>#REF!</v>
      </c>
    </row>
    <row r="177" spans="2:32" outlineLevel="1">
      <c r="B177" s="175" t="e">
        <f>IF(OR('Inventaire M'!#REF!="Dispo/Liquidité Investie",'Inventaire M'!#REF!="Option/Future",'Inventaire M'!#REF!="TCN",'Inventaire M'!#REF!=""),"-",'Inventaire M'!#REF!)</f>
        <v>#REF!</v>
      </c>
      <c r="C177" s="175" t="e">
        <f>IF(OR('Inventaire M'!#REF!="Dispo/Liquidité Investie",'Inventaire M'!#REF!="Option/Future",'Inventaire M'!#REF!="TCN",'Inventaire M'!#REF!=""),"-",'Inventaire M'!#REF!)</f>
        <v>#REF!</v>
      </c>
      <c r="D177" s="175"/>
      <c r="E177" s="175" t="e">
        <f>IF(B177="-","",INDEX('Inventaire M'!$A$2:$AW$9305,MATCH(B177,'Inventaire M'!$A:$A,0)-1,MATCH("Cours EUR",'Inventaire M'!#REF!,0)))</f>
        <v>#REF!</v>
      </c>
      <c r="F177" s="175" t="e">
        <f>IF(B177="-","",IF(ISERROR(INDEX('Inventaire M-1'!$A$2:$AZ$9320,MATCH(B177,'Inventaire M-1'!$A:$A,0)-1,MATCH("Cours EUR",'Inventaire M-1'!#REF!,0))),"Buy",INDEX('Inventaire M-1'!$A$2:$AZ$9320,MATCH(B177,'Inventaire M-1'!$A:$A,0)-1,MATCH("Cours EUR",'Inventaire M-1'!#REF!,0))))</f>
        <v>#REF!</v>
      </c>
      <c r="G177" s="175"/>
      <c r="H177" s="156" t="e">
        <f>IF(B177="-","",INDEX('Inventaire M'!$A$2:$AW$9305,MATCH(B177,'Inventaire M'!$A:$A,0)-1,MATCH("quantite",'Inventaire M'!#REF!,0)))</f>
        <v>#REF!</v>
      </c>
      <c r="I177" s="156" t="e">
        <f>IF(C177="-","",IF(ISERROR(INDEX('Inventaire M-1'!$A$2:$AZ$9320,MATCH(B177,'Inventaire M-1'!$A:$A,0)-1,MATCH("quantite",'Inventaire M-1'!#REF!,0))),"Buy",INDEX('Inventaire M-1'!$A$2:$AZ$9320,MATCH(B177,'Inventaire M-1'!$A:$A,0)-1,MATCH("quantite",'Inventaire M-1'!#REF!,0))))</f>
        <v>#REF!</v>
      </c>
      <c r="J177" s="175"/>
      <c r="K177" s="155" t="e">
        <f>IF(B177="-","",INDEX('Inventaire M'!$A$2:$AW$9305,MATCH(B177,'Inventaire M'!$A:$A,0)-1,MATCH("poids",'Inventaire M'!#REF!,0)))</f>
        <v>#REF!</v>
      </c>
      <c r="L177" s="155" t="e">
        <f>IF(B177="-","",IF(ISERROR(INDEX('Inventaire M-1'!$A$2:$AZ$9320,MATCH(B177,'Inventaire M-1'!$A:$A,0)-1,MATCH("poids",'Inventaire M-1'!#REF!,0))),"Buy",INDEX('Inventaire M-1'!$A$2:$AZ$9320,MATCH(B177,'Inventaire M-1'!$A:$A,0)-1,MATCH("poids",'Inventaire M-1'!#REF!,0))))</f>
        <v>#REF!</v>
      </c>
      <c r="M177" s="175"/>
      <c r="N177" s="157" t="str">
        <f t="shared" si="12"/>
        <v>0</v>
      </c>
      <c r="O177" s="98" t="str">
        <f t="shared" si="13"/>
        <v/>
      </c>
      <c r="P177" s="80" t="e">
        <f t="shared" si="14"/>
        <v>#REF!</v>
      </c>
      <c r="Q177" s="75">
        <v>1.5300000000000001E-8</v>
      </c>
      <c r="R177" s="175" t="e">
        <f>IF(OR('Inventaire M-1'!#REF!="Dispo/Liquidité Investie",'Inventaire M-1'!#REF!="Option/Future",'Inventaire M-1'!#REF!="TCN",'Inventaire M-1'!#REF!=""),"-",'Inventaire M-1'!#REF!)</f>
        <v>#REF!</v>
      </c>
      <c r="S177" s="175" t="e">
        <f>IF(OR('Inventaire M-1'!#REF!="Dispo/Liquidité Investie",'Inventaire M-1'!#REF!="Option/Future",'Inventaire M-1'!#REF!="TCN",'Inventaire M-1'!#REF!=""),"-",'Inventaire M-1'!#REF!)</f>
        <v>#REF!</v>
      </c>
      <c r="T177" s="175"/>
      <c r="U177" s="175" t="e">
        <f>IF(R177="-","",INDEX('Inventaire M-1'!$A$2:$AG$9334,MATCH(R177,'Inventaire M-1'!$A:$A,0)-1,MATCH("Cours EUR",'Inventaire M-1'!#REF!,0)))</f>
        <v>#REF!</v>
      </c>
      <c r="V177" s="175" t="e">
        <f>IF(R177="-","",IF(ISERROR(INDEX('Inventaire M'!$A$2:$AD$9319,MATCH(R177,'Inventaire M'!$A:$A,0)-1,MATCH("Cours EUR",'Inventaire M'!#REF!,0))),"Sell",INDEX('Inventaire M'!$A$2:$AD$9319,MATCH(R177,'Inventaire M'!$A:$A,0)-1,MATCH("Cours EUR",'Inventaire M'!#REF!,0))))</f>
        <v>#REF!</v>
      </c>
      <c r="W177" s="175"/>
      <c r="X177" s="156" t="e">
        <f>IF(R177="-","",INDEX('Inventaire M-1'!$A$2:$AG$9334,MATCH(R177,'Inventaire M-1'!$A:$A,0)-1,MATCH("quantite",'Inventaire M-1'!#REF!,0)))</f>
        <v>#REF!</v>
      </c>
      <c r="Y177" s="156" t="e">
        <f>IF(S177="-","",IF(ISERROR(INDEX('Inventaire M'!$A$2:$AD$9319,MATCH(R177,'Inventaire M'!$A:$A,0)-1,MATCH("quantite",'Inventaire M'!#REF!,0))),"Sell",INDEX('Inventaire M'!$A$2:$AD$9319,MATCH(R177,'Inventaire M'!$A:$A,0)-1,MATCH("quantite",'Inventaire M'!#REF!,0))))</f>
        <v>#REF!</v>
      </c>
      <c r="Z177" s="175"/>
      <c r="AA177" s="155" t="e">
        <f>IF(R177="-","",INDEX('Inventaire M-1'!$A$2:$AG$9334,MATCH(R177,'Inventaire M-1'!$A:$A,0)-1,MATCH("poids",'Inventaire M-1'!#REF!,0)))</f>
        <v>#REF!</v>
      </c>
      <c r="AB177" s="155" t="e">
        <f>IF(R177="-","",IF(ISERROR(INDEX('Inventaire M'!$A$2:$AD$9319,MATCH(R177,'Inventaire M'!$A:$A,0)-1,MATCH("poids",'Inventaire M'!#REF!,0))),"Sell",INDEX('Inventaire M'!$A$2:$AD$9319,MATCH(R177,'Inventaire M'!$A:$A,0)-1,MATCH("poids",'Inventaire M'!#REF!,0))))</f>
        <v>#REF!</v>
      </c>
      <c r="AC177" s="175"/>
      <c r="AD177" s="157" t="str">
        <f t="shared" si="15"/>
        <v>0</v>
      </c>
      <c r="AE177" s="98" t="str">
        <f t="shared" si="16"/>
        <v/>
      </c>
      <c r="AF177" s="80" t="e">
        <f t="shared" si="17"/>
        <v>#REF!</v>
      </c>
    </row>
    <row r="178" spans="2:32" outlineLevel="1">
      <c r="B178" s="175" t="e">
        <f>IF(OR('Inventaire M'!#REF!="Dispo/Liquidité Investie",'Inventaire M'!#REF!="Option/Future",'Inventaire M'!#REF!="TCN",'Inventaire M'!#REF!=""),"-",'Inventaire M'!#REF!)</f>
        <v>#REF!</v>
      </c>
      <c r="C178" s="175" t="e">
        <f>IF(OR('Inventaire M'!#REF!="Dispo/Liquidité Investie",'Inventaire M'!#REF!="Option/Future",'Inventaire M'!#REF!="TCN",'Inventaire M'!#REF!=""),"-",'Inventaire M'!#REF!)</f>
        <v>#REF!</v>
      </c>
      <c r="D178" s="175"/>
      <c r="E178" s="175" t="e">
        <f>IF(B178="-","",INDEX('Inventaire M'!$A$2:$AW$9305,MATCH(B178,'Inventaire M'!$A:$A,0)-1,MATCH("Cours EUR",'Inventaire M'!#REF!,0)))</f>
        <v>#REF!</v>
      </c>
      <c r="F178" s="175" t="e">
        <f>IF(B178="-","",IF(ISERROR(INDEX('Inventaire M-1'!$A$2:$AZ$9320,MATCH(B178,'Inventaire M-1'!$A:$A,0)-1,MATCH("Cours EUR",'Inventaire M-1'!#REF!,0))),"Buy",INDEX('Inventaire M-1'!$A$2:$AZ$9320,MATCH(B178,'Inventaire M-1'!$A:$A,0)-1,MATCH("Cours EUR",'Inventaire M-1'!#REF!,0))))</f>
        <v>#REF!</v>
      </c>
      <c r="G178" s="175"/>
      <c r="H178" s="156" t="e">
        <f>IF(B178="-","",INDEX('Inventaire M'!$A$2:$AW$9305,MATCH(B178,'Inventaire M'!$A:$A,0)-1,MATCH("quantite",'Inventaire M'!#REF!,0)))</f>
        <v>#REF!</v>
      </c>
      <c r="I178" s="156" t="e">
        <f>IF(C178="-","",IF(ISERROR(INDEX('Inventaire M-1'!$A$2:$AZ$9320,MATCH(B178,'Inventaire M-1'!$A:$A,0)-1,MATCH("quantite",'Inventaire M-1'!#REF!,0))),"Buy",INDEX('Inventaire M-1'!$A$2:$AZ$9320,MATCH(B178,'Inventaire M-1'!$A:$A,0)-1,MATCH("quantite",'Inventaire M-1'!#REF!,0))))</f>
        <v>#REF!</v>
      </c>
      <c r="J178" s="175"/>
      <c r="K178" s="155" t="e">
        <f>IF(B178="-","",INDEX('Inventaire M'!$A$2:$AW$9305,MATCH(B178,'Inventaire M'!$A:$A,0)-1,MATCH("poids",'Inventaire M'!#REF!,0)))</f>
        <v>#REF!</v>
      </c>
      <c r="L178" s="155" t="e">
        <f>IF(B178="-","",IF(ISERROR(INDEX('Inventaire M-1'!$A$2:$AZ$9320,MATCH(B178,'Inventaire M-1'!$A:$A,0)-1,MATCH("poids",'Inventaire M-1'!#REF!,0))),"Buy",INDEX('Inventaire M-1'!$A$2:$AZ$9320,MATCH(B178,'Inventaire M-1'!$A:$A,0)-1,MATCH("poids",'Inventaire M-1'!#REF!,0))))</f>
        <v>#REF!</v>
      </c>
      <c r="M178" s="175"/>
      <c r="N178" s="157" t="str">
        <f t="shared" si="12"/>
        <v>0</v>
      </c>
      <c r="O178" s="98" t="str">
        <f t="shared" si="13"/>
        <v/>
      </c>
      <c r="P178" s="80" t="e">
        <f t="shared" si="14"/>
        <v>#REF!</v>
      </c>
      <c r="Q178" s="75">
        <v>1.5399999999999999E-8</v>
      </c>
      <c r="R178" s="175" t="e">
        <f>IF(OR('Inventaire M-1'!#REF!="Dispo/Liquidité Investie",'Inventaire M-1'!#REF!="Option/Future",'Inventaire M-1'!#REF!="TCN",'Inventaire M-1'!#REF!=""),"-",'Inventaire M-1'!#REF!)</f>
        <v>#REF!</v>
      </c>
      <c r="S178" s="175" t="e">
        <f>IF(OR('Inventaire M-1'!#REF!="Dispo/Liquidité Investie",'Inventaire M-1'!#REF!="Option/Future",'Inventaire M-1'!#REF!="TCN",'Inventaire M-1'!#REF!=""),"-",'Inventaire M-1'!#REF!)</f>
        <v>#REF!</v>
      </c>
      <c r="T178" s="175"/>
      <c r="U178" s="175" t="e">
        <f>IF(R178="-","",INDEX('Inventaire M-1'!$A$2:$AG$9334,MATCH(R178,'Inventaire M-1'!$A:$A,0)-1,MATCH("Cours EUR",'Inventaire M-1'!#REF!,0)))</f>
        <v>#REF!</v>
      </c>
      <c r="V178" s="175" t="e">
        <f>IF(R178="-","",IF(ISERROR(INDEX('Inventaire M'!$A$2:$AD$9319,MATCH(R178,'Inventaire M'!$A:$A,0)-1,MATCH("Cours EUR",'Inventaire M'!#REF!,0))),"Sell",INDEX('Inventaire M'!$A$2:$AD$9319,MATCH(R178,'Inventaire M'!$A:$A,0)-1,MATCH("Cours EUR",'Inventaire M'!#REF!,0))))</f>
        <v>#REF!</v>
      </c>
      <c r="W178" s="175"/>
      <c r="X178" s="156" t="e">
        <f>IF(R178="-","",INDEX('Inventaire M-1'!$A$2:$AG$9334,MATCH(R178,'Inventaire M-1'!$A:$A,0)-1,MATCH("quantite",'Inventaire M-1'!#REF!,0)))</f>
        <v>#REF!</v>
      </c>
      <c r="Y178" s="156" t="e">
        <f>IF(S178="-","",IF(ISERROR(INDEX('Inventaire M'!$A$2:$AD$9319,MATCH(R178,'Inventaire M'!$A:$A,0)-1,MATCH("quantite",'Inventaire M'!#REF!,0))),"Sell",INDEX('Inventaire M'!$A$2:$AD$9319,MATCH(R178,'Inventaire M'!$A:$A,0)-1,MATCH("quantite",'Inventaire M'!#REF!,0))))</f>
        <v>#REF!</v>
      </c>
      <c r="Z178" s="175"/>
      <c r="AA178" s="155" t="e">
        <f>IF(R178="-","",INDEX('Inventaire M-1'!$A$2:$AG$9334,MATCH(R178,'Inventaire M-1'!$A:$A,0)-1,MATCH("poids",'Inventaire M-1'!#REF!,0)))</f>
        <v>#REF!</v>
      </c>
      <c r="AB178" s="155" t="e">
        <f>IF(R178="-","",IF(ISERROR(INDEX('Inventaire M'!$A$2:$AD$9319,MATCH(R178,'Inventaire M'!$A:$A,0)-1,MATCH("poids",'Inventaire M'!#REF!,0))),"Sell",INDEX('Inventaire M'!$A$2:$AD$9319,MATCH(R178,'Inventaire M'!$A:$A,0)-1,MATCH("poids",'Inventaire M'!#REF!,0))))</f>
        <v>#REF!</v>
      </c>
      <c r="AC178" s="175"/>
      <c r="AD178" s="157" t="str">
        <f t="shared" si="15"/>
        <v>0</v>
      </c>
      <c r="AE178" s="98" t="str">
        <f t="shared" si="16"/>
        <v/>
      </c>
      <c r="AF178" s="80" t="e">
        <f t="shared" si="17"/>
        <v>#REF!</v>
      </c>
    </row>
    <row r="179" spans="2:32" outlineLevel="1">
      <c r="B179" s="175" t="e">
        <f>IF(OR('Inventaire M'!#REF!="Dispo/Liquidité Investie",'Inventaire M'!#REF!="Option/Future",'Inventaire M'!#REF!="TCN",'Inventaire M'!#REF!=""),"-",'Inventaire M'!#REF!)</f>
        <v>#REF!</v>
      </c>
      <c r="C179" s="175" t="e">
        <f>IF(OR('Inventaire M'!#REF!="Dispo/Liquidité Investie",'Inventaire M'!#REF!="Option/Future",'Inventaire M'!#REF!="TCN",'Inventaire M'!#REF!=""),"-",'Inventaire M'!#REF!)</f>
        <v>#REF!</v>
      </c>
      <c r="D179" s="175"/>
      <c r="E179" s="175" t="e">
        <f>IF(B179="-","",INDEX('Inventaire M'!$A$2:$AW$9305,MATCH(B179,'Inventaire M'!$A:$A,0)-1,MATCH("Cours EUR",'Inventaire M'!#REF!,0)))</f>
        <v>#REF!</v>
      </c>
      <c r="F179" s="175" t="e">
        <f>IF(B179="-","",IF(ISERROR(INDEX('Inventaire M-1'!$A$2:$AZ$9320,MATCH(B179,'Inventaire M-1'!$A:$A,0)-1,MATCH("Cours EUR",'Inventaire M-1'!#REF!,0))),"Buy",INDEX('Inventaire M-1'!$A$2:$AZ$9320,MATCH(B179,'Inventaire M-1'!$A:$A,0)-1,MATCH("Cours EUR",'Inventaire M-1'!#REF!,0))))</f>
        <v>#REF!</v>
      </c>
      <c r="G179" s="175"/>
      <c r="H179" s="156" t="e">
        <f>IF(B179="-","",INDEX('Inventaire M'!$A$2:$AW$9305,MATCH(B179,'Inventaire M'!$A:$A,0)-1,MATCH("quantite",'Inventaire M'!#REF!,0)))</f>
        <v>#REF!</v>
      </c>
      <c r="I179" s="156" t="e">
        <f>IF(C179="-","",IF(ISERROR(INDEX('Inventaire M-1'!$A$2:$AZ$9320,MATCH(B179,'Inventaire M-1'!$A:$A,0)-1,MATCH("quantite",'Inventaire M-1'!#REF!,0))),"Buy",INDEX('Inventaire M-1'!$A$2:$AZ$9320,MATCH(B179,'Inventaire M-1'!$A:$A,0)-1,MATCH("quantite",'Inventaire M-1'!#REF!,0))))</f>
        <v>#REF!</v>
      </c>
      <c r="J179" s="175"/>
      <c r="K179" s="155" t="e">
        <f>IF(B179="-","",INDEX('Inventaire M'!$A$2:$AW$9305,MATCH(B179,'Inventaire M'!$A:$A,0)-1,MATCH("poids",'Inventaire M'!#REF!,0)))</f>
        <v>#REF!</v>
      </c>
      <c r="L179" s="155" t="e">
        <f>IF(B179="-","",IF(ISERROR(INDEX('Inventaire M-1'!$A$2:$AZ$9320,MATCH(B179,'Inventaire M-1'!$A:$A,0)-1,MATCH("poids",'Inventaire M-1'!#REF!,0))),"Buy",INDEX('Inventaire M-1'!$A$2:$AZ$9320,MATCH(B179,'Inventaire M-1'!$A:$A,0)-1,MATCH("poids",'Inventaire M-1'!#REF!,0))))</f>
        <v>#REF!</v>
      </c>
      <c r="M179" s="175"/>
      <c r="N179" s="157" t="str">
        <f t="shared" si="12"/>
        <v>0</v>
      </c>
      <c r="O179" s="98" t="str">
        <f t="shared" si="13"/>
        <v/>
      </c>
      <c r="P179" s="80" t="e">
        <f t="shared" si="14"/>
        <v>#REF!</v>
      </c>
      <c r="Q179" s="75">
        <v>1.55E-8</v>
      </c>
      <c r="R179" s="175" t="e">
        <f>IF(OR('Inventaire M-1'!#REF!="Dispo/Liquidité Investie",'Inventaire M-1'!#REF!="Option/Future",'Inventaire M-1'!#REF!="TCN",'Inventaire M-1'!#REF!=""),"-",'Inventaire M-1'!#REF!)</f>
        <v>#REF!</v>
      </c>
      <c r="S179" s="175" t="e">
        <f>IF(OR('Inventaire M-1'!#REF!="Dispo/Liquidité Investie",'Inventaire M-1'!#REF!="Option/Future",'Inventaire M-1'!#REF!="TCN",'Inventaire M-1'!#REF!=""),"-",'Inventaire M-1'!#REF!)</f>
        <v>#REF!</v>
      </c>
      <c r="T179" s="175"/>
      <c r="U179" s="175" t="e">
        <f>IF(R179="-","",INDEX('Inventaire M-1'!$A$2:$AG$9334,MATCH(R179,'Inventaire M-1'!$A:$A,0)-1,MATCH("Cours EUR",'Inventaire M-1'!#REF!,0)))</f>
        <v>#REF!</v>
      </c>
      <c r="V179" s="175" t="e">
        <f>IF(R179="-","",IF(ISERROR(INDEX('Inventaire M'!$A$2:$AD$9319,MATCH(R179,'Inventaire M'!$A:$A,0)-1,MATCH("Cours EUR",'Inventaire M'!#REF!,0))),"Sell",INDEX('Inventaire M'!$A$2:$AD$9319,MATCH(R179,'Inventaire M'!$A:$A,0)-1,MATCH("Cours EUR",'Inventaire M'!#REF!,0))))</f>
        <v>#REF!</v>
      </c>
      <c r="W179" s="175"/>
      <c r="X179" s="156" t="e">
        <f>IF(R179="-","",INDEX('Inventaire M-1'!$A$2:$AG$9334,MATCH(R179,'Inventaire M-1'!$A:$A,0)-1,MATCH("quantite",'Inventaire M-1'!#REF!,0)))</f>
        <v>#REF!</v>
      </c>
      <c r="Y179" s="156" t="e">
        <f>IF(S179="-","",IF(ISERROR(INDEX('Inventaire M'!$A$2:$AD$9319,MATCH(R179,'Inventaire M'!$A:$A,0)-1,MATCH("quantite",'Inventaire M'!#REF!,0))),"Sell",INDEX('Inventaire M'!$A$2:$AD$9319,MATCH(R179,'Inventaire M'!$A:$A,0)-1,MATCH("quantite",'Inventaire M'!#REF!,0))))</f>
        <v>#REF!</v>
      </c>
      <c r="Z179" s="175"/>
      <c r="AA179" s="155" t="e">
        <f>IF(R179="-","",INDEX('Inventaire M-1'!$A$2:$AG$9334,MATCH(R179,'Inventaire M-1'!$A:$A,0)-1,MATCH("poids",'Inventaire M-1'!#REF!,0)))</f>
        <v>#REF!</v>
      </c>
      <c r="AB179" s="155" t="e">
        <f>IF(R179="-","",IF(ISERROR(INDEX('Inventaire M'!$A$2:$AD$9319,MATCH(R179,'Inventaire M'!$A:$A,0)-1,MATCH("poids",'Inventaire M'!#REF!,0))),"Sell",INDEX('Inventaire M'!$A$2:$AD$9319,MATCH(R179,'Inventaire M'!$A:$A,0)-1,MATCH("poids",'Inventaire M'!#REF!,0))))</f>
        <v>#REF!</v>
      </c>
      <c r="AC179" s="175"/>
      <c r="AD179" s="157" t="str">
        <f t="shared" si="15"/>
        <v>0</v>
      </c>
      <c r="AE179" s="98" t="str">
        <f t="shared" si="16"/>
        <v/>
      </c>
      <c r="AF179" s="80" t="e">
        <f t="shared" si="17"/>
        <v>#REF!</v>
      </c>
    </row>
    <row r="180" spans="2:32" outlineLevel="1">
      <c r="B180" s="175" t="e">
        <f>IF(OR('Inventaire M'!#REF!="Dispo/Liquidité Investie",'Inventaire M'!#REF!="Option/Future",'Inventaire M'!#REF!="TCN",'Inventaire M'!#REF!=""),"-",'Inventaire M'!#REF!)</f>
        <v>#REF!</v>
      </c>
      <c r="C180" s="175" t="e">
        <f>IF(OR('Inventaire M'!#REF!="Dispo/Liquidité Investie",'Inventaire M'!#REF!="Option/Future",'Inventaire M'!#REF!="TCN",'Inventaire M'!#REF!=""),"-",'Inventaire M'!#REF!)</f>
        <v>#REF!</v>
      </c>
      <c r="D180" s="175"/>
      <c r="E180" s="175" t="e">
        <f>IF(B180="-","",INDEX('Inventaire M'!$A$2:$AW$9305,MATCH(B180,'Inventaire M'!$A:$A,0)-1,MATCH("Cours EUR",'Inventaire M'!#REF!,0)))</f>
        <v>#REF!</v>
      </c>
      <c r="F180" s="175" t="e">
        <f>IF(B180="-","",IF(ISERROR(INDEX('Inventaire M-1'!$A$2:$AZ$9320,MATCH(B180,'Inventaire M-1'!$A:$A,0)-1,MATCH("Cours EUR",'Inventaire M-1'!#REF!,0))),"Buy",INDEX('Inventaire M-1'!$A$2:$AZ$9320,MATCH(B180,'Inventaire M-1'!$A:$A,0)-1,MATCH("Cours EUR",'Inventaire M-1'!#REF!,0))))</f>
        <v>#REF!</v>
      </c>
      <c r="G180" s="175"/>
      <c r="H180" s="156" t="e">
        <f>IF(B180="-","",INDEX('Inventaire M'!$A$2:$AW$9305,MATCH(B180,'Inventaire M'!$A:$A,0)-1,MATCH("quantite",'Inventaire M'!#REF!,0)))</f>
        <v>#REF!</v>
      </c>
      <c r="I180" s="156" t="e">
        <f>IF(C180="-","",IF(ISERROR(INDEX('Inventaire M-1'!$A$2:$AZ$9320,MATCH(B180,'Inventaire M-1'!$A:$A,0)-1,MATCH("quantite",'Inventaire M-1'!#REF!,0))),"Buy",INDEX('Inventaire M-1'!$A$2:$AZ$9320,MATCH(B180,'Inventaire M-1'!$A:$A,0)-1,MATCH("quantite",'Inventaire M-1'!#REF!,0))))</f>
        <v>#REF!</v>
      </c>
      <c r="J180" s="175"/>
      <c r="K180" s="155" t="e">
        <f>IF(B180="-","",INDEX('Inventaire M'!$A$2:$AW$9305,MATCH(B180,'Inventaire M'!$A:$A,0)-1,MATCH("poids",'Inventaire M'!#REF!,0)))</f>
        <v>#REF!</v>
      </c>
      <c r="L180" s="155" t="e">
        <f>IF(B180="-","",IF(ISERROR(INDEX('Inventaire M-1'!$A$2:$AZ$9320,MATCH(B180,'Inventaire M-1'!$A:$A,0)-1,MATCH("poids",'Inventaire M-1'!#REF!,0))),"Buy",INDEX('Inventaire M-1'!$A$2:$AZ$9320,MATCH(B180,'Inventaire M-1'!$A:$A,0)-1,MATCH("poids",'Inventaire M-1'!#REF!,0))))</f>
        <v>#REF!</v>
      </c>
      <c r="M180" s="175"/>
      <c r="N180" s="157" t="str">
        <f t="shared" si="12"/>
        <v>0</v>
      </c>
      <c r="O180" s="98" t="str">
        <f t="shared" si="13"/>
        <v/>
      </c>
      <c r="P180" s="80" t="e">
        <f t="shared" si="14"/>
        <v>#REF!</v>
      </c>
      <c r="Q180" s="75">
        <v>1.5600000000000001E-8</v>
      </c>
      <c r="R180" s="175" t="e">
        <f>IF(OR('Inventaire M-1'!#REF!="Dispo/Liquidité Investie",'Inventaire M-1'!#REF!="Option/Future",'Inventaire M-1'!#REF!="TCN",'Inventaire M-1'!#REF!=""),"-",'Inventaire M-1'!#REF!)</f>
        <v>#REF!</v>
      </c>
      <c r="S180" s="175" t="e">
        <f>IF(OR('Inventaire M-1'!#REF!="Dispo/Liquidité Investie",'Inventaire M-1'!#REF!="Option/Future",'Inventaire M-1'!#REF!="TCN",'Inventaire M-1'!#REF!=""),"-",'Inventaire M-1'!#REF!)</f>
        <v>#REF!</v>
      </c>
      <c r="T180" s="175"/>
      <c r="U180" s="175" t="e">
        <f>IF(R180="-","",INDEX('Inventaire M-1'!$A$2:$AG$9334,MATCH(R180,'Inventaire M-1'!$A:$A,0)-1,MATCH("Cours EUR",'Inventaire M-1'!#REF!,0)))</f>
        <v>#REF!</v>
      </c>
      <c r="V180" s="175" t="e">
        <f>IF(R180="-","",IF(ISERROR(INDEX('Inventaire M'!$A$2:$AD$9319,MATCH(R180,'Inventaire M'!$A:$A,0)-1,MATCH("Cours EUR",'Inventaire M'!#REF!,0))),"Sell",INDEX('Inventaire M'!$A$2:$AD$9319,MATCH(R180,'Inventaire M'!$A:$A,0)-1,MATCH("Cours EUR",'Inventaire M'!#REF!,0))))</f>
        <v>#REF!</v>
      </c>
      <c r="W180" s="175"/>
      <c r="X180" s="156" t="e">
        <f>IF(R180="-","",INDEX('Inventaire M-1'!$A$2:$AG$9334,MATCH(R180,'Inventaire M-1'!$A:$A,0)-1,MATCH("quantite",'Inventaire M-1'!#REF!,0)))</f>
        <v>#REF!</v>
      </c>
      <c r="Y180" s="156" t="e">
        <f>IF(S180="-","",IF(ISERROR(INDEX('Inventaire M'!$A$2:$AD$9319,MATCH(R180,'Inventaire M'!$A:$A,0)-1,MATCH("quantite",'Inventaire M'!#REF!,0))),"Sell",INDEX('Inventaire M'!$A$2:$AD$9319,MATCH(R180,'Inventaire M'!$A:$A,0)-1,MATCH("quantite",'Inventaire M'!#REF!,0))))</f>
        <v>#REF!</v>
      </c>
      <c r="Z180" s="175"/>
      <c r="AA180" s="155" t="e">
        <f>IF(R180="-","",INDEX('Inventaire M-1'!$A$2:$AG$9334,MATCH(R180,'Inventaire M-1'!$A:$A,0)-1,MATCH("poids",'Inventaire M-1'!#REF!,0)))</f>
        <v>#REF!</v>
      </c>
      <c r="AB180" s="155" t="e">
        <f>IF(R180="-","",IF(ISERROR(INDEX('Inventaire M'!$A$2:$AD$9319,MATCH(R180,'Inventaire M'!$A:$A,0)-1,MATCH("poids",'Inventaire M'!#REF!,0))),"Sell",INDEX('Inventaire M'!$A$2:$AD$9319,MATCH(R180,'Inventaire M'!$A:$A,0)-1,MATCH("poids",'Inventaire M'!#REF!,0))))</f>
        <v>#REF!</v>
      </c>
      <c r="AC180" s="175"/>
      <c r="AD180" s="157" t="str">
        <f t="shared" si="15"/>
        <v>0</v>
      </c>
      <c r="AE180" s="98" t="str">
        <f t="shared" si="16"/>
        <v/>
      </c>
      <c r="AF180" s="80" t="e">
        <f t="shared" si="17"/>
        <v>#REF!</v>
      </c>
    </row>
    <row r="181" spans="2:32" outlineLevel="1">
      <c r="B181" s="175" t="e">
        <f>IF(OR('Inventaire M'!#REF!="Dispo/Liquidité Investie",'Inventaire M'!#REF!="Option/Future",'Inventaire M'!#REF!="TCN",'Inventaire M'!#REF!=""),"-",'Inventaire M'!#REF!)</f>
        <v>#REF!</v>
      </c>
      <c r="C181" s="175" t="e">
        <f>IF(OR('Inventaire M'!#REF!="Dispo/Liquidité Investie",'Inventaire M'!#REF!="Option/Future",'Inventaire M'!#REF!="TCN",'Inventaire M'!#REF!=""),"-",'Inventaire M'!#REF!)</f>
        <v>#REF!</v>
      </c>
      <c r="D181" s="175"/>
      <c r="E181" s="175" t="e">
        <f>IF(B181="-","",INDEX('Inventaire M'!$A$2:$AW$9305,MATCH(B181,'Inventaire M'!$A:$A,0)-1,MATCH("Cours EUR",'Inventaire M'!#REF!,0)))</f>
        <v>#REF!</v>
      </c>
      <c r="F181" s="175" t="e">
        <f>IF(B181="-","",IF(ISERROR(INDEX('Inventaire M-1'!$A$2:$AZ$9320,MATCH(B181,'Inventaire M-1'!$A:$A,0)-1,MATCH("Cours EUR",'Inventaire M-1'!#REF!,0))),"Buy",INDEX('Inventaire M-1'!$A$2:$AZ$9320,MATCH(B181,'Inventaire M-1'!$A:$A,0)-1,MATCH("Cours EUR",'Inventaire M-1'!#REF!,0))))</f>
        <v>#REF!</v>
      </c>
      <c r="G181" s="175"/>
      <c r="H181" s="156" t="e">
        <f>IF(B181="-","",INDEX('Inventaire M'!$A$2:$AW$9305,MATCH(B181,'Inventaire M'!$A:$A,0)-1,MATCH("quantite",'Inventaire M'!#REF!,0)))</f>
        <v>#REF!</v>
      </c>
      <c r="I181" s="156" t="e">
        <f>IF(C181="-","",IF(ISERROR(INDEX('Inventaire M-1'!$A$2:$AZ$9320,MATCH(B181,'Inventaire M-1'!$A:$A,0)-1,MATCH("quantite",'Inventaire M-1'!#REF!,0))),"Buy",INDEX('Inventaire M-1'!$A$2:$AZ$9320,MATCH(B181,'Inventaire M-1'!$A:$A,0)-1,MATCH("quantite",'Inventaire M-1'!#REF!,0))))</f>
        <v>#REF!</v>
      </c>
      <c r="J181" s="175"/>
      <c r="K181" s="155" t="e">
        <f>IF(B181="-","",INDEX('Inventaire M'!$A$2:$AW$9305,MATCH(B181,'Inventaire M'!$A:$A,0)-1,MATCH("poids",'Inventaire M'!#REF!,0)))</f>
        <v>#REF!</v>
      </c>
      <c r="L181" s="155" t="e">
        <f>IF(B181="-","",IF(ISERROR(INDEX('Inventaire M-1'!$A$2:$AZ$9320,MATCH(B181,'Inventaire M-1'!$A:$A,0)-1,MATCH("poids",'Inventaire M-1'!#REF!,0))),"Buy",INDEX('Inventaire M-1'!$A$2:$AZ$9320,MATCH(B181,'Inventaire M-1'!$A:$A,0)-1,MATCH("poids",'Inventaire M-1'!#REF!,0))))</f>
        <v>#REF!</v>
      </c>
      <c r="M181" s="175"/>
      <c r="N181" s="157" t="str">
        <f t="shared" si="12"/>
        <v>0</v>
      </c>
      <c r="O181" s="98" t="str">
        <f t="shared" si="13"/>
        <v/>
      </c>
      <c r="P181" s="80" t="e">
        <f t="shared" si="14"/>
        <v>#REF!</v>
      </c>
      <c r="Q181" s="75">
        <v>1.5700000000000002E-8</v>
      </c>
      <c r="R181" s="175" t="e">
        <f>IF(OR('Inventaire M-1'!#REF!="Dispo/Liquidité Investie",'Inventaire M-1'!#REF!="Option/Future",'Inventaire M-1'!#REF!="TCN",'Inventaire M-1'!#REF!=""),"-",'Inventaire M-1'!#REF!)</f>
        <v>#REF!</v>
      </c>
      <c r="S181" s="175" t="e">
        <f>IF(OR('Inventaire M-1'!#REF!="Dispo/Liquidité Investie",'Inventaire M-1'!#REF!="Option/Future",'Inventaire M-1'!#REF!="TCN",'Inventaire M-1'!#REF!=""),"-",'Inventaire M-1'!#REF!)</f>
        <v>#REF!</v>
      </c>
      <c r="T181" s="175"/>
      <c r="U181" s="175" t="e">
        <f>IF(R181="-","",INDEX('Inventaire M-1'!$A$2:$AG$9334,MATCH(R181,'Inventaire M-1'!$A:$A,0)-1,MATCH("Cours EUR",'Inventaire M-1'!#REF!,0)))</f>
        <v>#REF!</v>
      </c>
      <c r="V181" s="175" t="e">
        <f>IF(R181="-","",IF(ISERROR(INDEX('Inventaire M'!$A$2:$AD$9319,MATCH(R181,'Inventaire M'!$A:$A,0)-1,MATCH("Cours EUR",'Inventaire M'!#REF!,0))),"Sell",INDEX('Inventaire M'!$A$2:$AD$9319,MATCH(R181,'Inventaire M'!$A:$A,0)-1,MATCH("Cours EUR",'Inventaire M'!#REF!,0))))</f>
        <v>#REF!</v>
      </c>
      <c r="W181" s="175"/>
      <c r="X181" s="156" t="e">
        <f>IF(R181="-","",INDEX('Inventaire M-1'!$A$2:$AG$9334,MATCH(R181,'Inventaire M-1'!$A:$A,0)-1,MATCH("quantite",'Inventaire M-1'!#REF!,0)))</f>
        <v>#REF!</v>
      </c>
      <c r="Y181" s="156" t="e">
        <f>IF(S181="-","",IF(ISERROR(INDEX('Inventaire M'!$A$2:$AD$9319,MATCH(R181,'Inventaire M'!$A:$A,0)-1,MATCH("quantite",'Inventaire M'!#REF!,0))),"Sell",INDEX('Inventaire M'!$A$2:$AD$9319,MATCH(R181,'Inventaire M'!$A:$A,0)-1,MATCH("quantite",'Inventaire M'!#REF!,0))))</f>
        <v>#REF!</v>
      </c>
      <c r="Z181" s="175"/>
      <c r="AA181" s="155" t="e">
        <f>IF(R181="-","",INDEX('Inventaire M-1'!$A$2:$AG$9334,MATCH(R181,'Inventaire M-1'!$A:$A,0)-1,MATCH("poids",'Inventaire M-1'!#REF!,0)))</f>
        <v>#REF!</v>
      </c>
      <c r="AB181" s="155" t="e">
        <f>IF(R181="-","",IF(ISERROR(INDEX('Inventaire M'!$A$2:$AD$9319,MATCH(R181,'Inventaire M'!$A:$A,0)-1,MATCH("poids",'Inventaire M'!#REF!,0))),"Sell",INDEX('Inventaire M'!$A$2:$AD$9319,MATCH(R181,'Inventaire M'!$A:$A,0)-1,MATCH("poids",'Inventaire M'!#REF!,0))))</f>
        <v>#REF!</v>
      </c>
      <c r="AC181" s="175"/>
      <c r="AD181" s="157" t="str">
        <f t="shared" si="15"/>
        <v>0</v>
      </c>
      <c r="AE181" s="98" t="str">
        <f t="shared" si="16"/>
        <v/>
      </c>
      <c r="AF181" s="80" t="e">
        <f t="shared" si="17"/>
        <v>#REF!</v>
      </c>
    </row>
    <row r="182" spans="2:32" outlineLevel="1">
      <c r="B182" s="175" t="e">
        <f>IF(OR('Inventaire M'!#REF!="Dispo/Liquidité Investie",'Inventaire M'!#REF!="Option/Future",'Inventaire M'!#REF!="TCN",'Inventaire M'!#REF!=""),"-",'Inventaire M'!#REF!)</f>
        <v>#REF!</v>
      </c>
      <c r="C182" s="175" t="e">
        <f>IF(OR('Inventaire M'!#REF!="Dispo/Liquidité Investie",'Inventaire M'!#REF!="Option/Future",'Inventaire M'!#REF!="TCN",'Inventaire M'!#REF!=""),"-",'Inventaire M'!#REF!)</f>
        <v>#REF!</v>
      </c>
      <c r="D182" s="175"/>
      <c r="E182" s="175" t="e">
        <f>IF(B182="-","",INDEX('Inventaire M'!$A$2:$AW$9305,MATCH(B182,'Inventaire M'!$A:$A,0)-1,MATCH("Cours EUR",'Inventaire M'!#REF!,0)))</f>
        <v>#REF!</v>
      </c>
      <c r="F182" s="175" t="e">
        <f>IF(B182="-","",IF(ISERROR(INDEX('Inventaire M-1'!$A$2:$AZ$9320,MATCH(B182,'Inventaire M-1'!$A:$A,0)-1,MATCH("Cours EUR",'Inventaire M-1'!#REF!,0))),"Buy",INDEX('Inventaire M-1'!$A$2:$AZ$9320,MATCH(B182,'Inventaire M-1'!$A:$A,0)-1,MATCH("Cours EUR",'Inventaire M-1'!#REF!,0))))</f>
        <v>#REF!</v>
      </c>
      <c r="G182" s="175"/>
      <c r="H182" s="156" t="e">
        <f>IF(B182="-","",INDEX('Inventaire M'!$A$2:$AW$9305,MATCH(B182,'Inventaire M'!$A:$A,0)-1,MATCH("quantite",'Inventaire M'!#REF!,0)))</f>
        <v>#REF!</v>
      </c>
      <c r="I182" s="156" t="e">
        <f>IF(C182="-","",IF(ISERROR(INDEX('Inventaire M-1'!$A$2:$AZ$9320,MATCH(B182,'Inventaire M-1'!$A:$A,0)-1,MATCH("quantite",'Inventaire M-1'!#REF!,0))),"Buy",INDEX('Inventaire M-1'!$A$2:$AZ$9320,MATCH(B182,'Inventaire M-1'!$A:$A,0)-1,MATCH("quantite",'Inventaire M-1'!#REF!,0))))</f>
        <v>#REF!</v>
      </c>
      <c r="J182" s="175"/>
      <c r="K182" s="155" t="e">
        <f>IF(B182="-","",INDEX('Inventaire M'!$A$2:$AW$9305,MATCH(B182,'Inventaire M'!$A:$A,0)-1,MATCH("poids",'Inventaire M'!#REF!,0)))</f>
        <v>#REF!</v>
      </c>
      <c r="L182" s="155" t="e">
        <f>IF(B182="-","",IF(ISERROR(INDEX('Inventaire M-1'!$A$2:$AZ$9320,MATCH(B182,'Inventaire M-1'!$A:$A,0)-1,MATCH("poids",'Inventaire M-1'!#REF!,0))),"Buy",INDEX('Inventaire M-1'!$A$2:$AZ$9320,MATCH(B182,'Inventaire M-1'!$A:$A,0)-1,MATCH("poids",'Inventaire M-1'!#REF!,0))))</f>
        <v>#REF!</v>
      </c>
      <c r="M182" s="175"/>
      <c r="N182" s="157" t="str">
        <f t="shared" si="12"/>
        <v>0</v>
      </c>
      <c r="O182" s="98" t="str">
        <f t="shared" si="13"/>
        <v/>
      </c>
      <c r="P182" s="80" t="e">
        <f t="shared" si="14"/>
        <v>#REF!</v>
      </c>
      <c r="Q182" s="75">
        <v>1.5799999999999999E-8</v>
      </c>
      <c r="R182" s="175" t="e">
        <f>IF(OR('Inventaire M-1'!#REF!="Dispo/Liquidité Investie",'Inventaire M-1'!#REF!="Option/Future",'Inventaire M-1'!#REF!="TCN",'Inventaire M-1'!#REF!=""),"-",'Inventaire M-1'!#REF!)</f>
        <v>#REF!</v>
      </c>
      <c r="S182" s="175" t="e">
        <f>IF(OR('Inventaire M-1'!#REF!="Dispo/Liquidité Investie",'Inventaire M-1'!#REF!="Option/Future",'Inventaire M-1'!#REF!="TCN",'Inventaire M-1'!#REF!=""),"-",'Inventaire M-1'!#REF!)</f>
        <v>#REF!</v>
      </c>
      <c r="T182" s="175"/>
      <c r="U182" s="175" t="e">
        <f>IF(R182="-","",INDEX('Inventaire M-1'!$A$2:$AG$9334,MATCH(R182,'Inventaire M-1'!$A:$A,0)-1,MATCH("Cours EUR",'Inventaire M-1'!#REF!,0)))</f>
        <v>#REF!</v>
      </c>
      <c r="V182" s="175" t="e">
        <f>IF(R182="-","",IF(ISERROR(INDEX('Inventaire M'!$A$2:$AD$9319,MATCH(R182,'Inventaire M'!$A:$A,0)-1,MATCH("Cours EUR",'Inventaire M'!#REF!,0))),"Sell",INDEX('Inventaire M'!$A$2:$AD$9319,MATCH(R182,'Inventaire M'!$A:$A,0)-1,MATCH("Cours EUR",'Inventaire M'!#REF!,0))))</f>
        <v>#REF!</v>
      </c>
      <c r="W182" s="175"/>
      <c r="X182" s="156" t="e">
        <f>IF(R182="-","",INDEX('Inventaire M-1'!$A$2:$AG$9334,MATCH(R182,'Inventaire M-1'!$A:$A,0)-1,MATCH("quantite",'Inventaire M-1'!#REF!,0)))</f>
        <v>#REF!</v>
      </c>
      <c r="Y182" s="156" t="e">
        <f>IF(S182="-","",IF(ISERROR(INDEX('Inventaire M'!$A$2:$AD$9319,MATCH(R182,'Inventaire M'!$A:$A,0)-1,MATCH("quantite",'Inventaire M'!#REF!,0))),"Sell",INDEX('Inventaire M'!$A$2:$AD$9319,MATCH(R182,'Inventaire M'!$A:$A,0)-1,MATCH("quantite",'Inventaire M'!#REF!,0))))</f>
        <v>#REF!</v>
      </c>
      <c r="Z182" s="175"/>
      <c r="AA182" s="155" t="e">
        <f>IF(R182="-","",INDEX('Inventaire M-1'!$A$2:$AG$9334,MATCH(R182,'Inventaire M-1'!$A:$A,0)-1,MATCH("poids",'Inventaire M-1'!#REF!,0)))</f>
        <v>#REF!</v>
      </c>
      <c r="AB182" s="155" t="e">
        <f>IF(R182="-","",IF(ISERROR(INDEX('Inventaire M'!$A$2:$AD$9319,MATCH(R182,'Inventaire M'!$A:$A,0)-1,MATCH("poids",'Inventaire M'!#REF!,0))),"Sell",INDEX('Inventaire M'!$A$2:$AD$9319,MATCH(R182,'Inventaire M'!$A:$A,0)-1,MATCH("poids",'Inventaire M'!#REF!,0))))</f>
        <v>#REF!</v>
      </c>
      <c r="AC182" s="175"/>
      <c r="AD182" s="157" t="str">
        <f t="shared" si="15"/>
        <v>0</v>
      </c>
      <c r="AE182" s="98" t="str">
        <f t="shared" si="16"/>
        <v/>
      </c>
      <c r="AF182" s="80" t="e">
        <f t="shared" si="17"/>
        <v>#REF!</v>
      </c>
    </row>
    <row r="183" spans="2:32" outlineLevel="1">
      <c r="B183" s="175" t="e">
        <f>IF(OR('Inventaire M'!#REF!="Dispo/Liquidité Investie",'Inventaire M'!#REF!="Option/Future",'Inventaire M'!#REF!="TCN",'Inventaire M'!#REF!=""),"-",'Inventaire M'!#REF!)</f>
        <v>#REF!</v>
      </c>
      <c r="C183" s="175" t="e">
        <f>IF(OR('Inventaire M'!#REF!="Dispo/Liquidité Investie",'Inventaire M'!#REF!="Option/Future",'Inventaire M'!#REF!="TCN",'Inventaire M'!#REF!=""),"-",'Inventaire M'!#REF!)</f>
        <v>#REF!</v>
      </c>
      <c r="D183" s="175"/>
      <c r="E183" s="175" t="e">
        <f>IF(B183="-","",INDEX('Inventaire M'!$A$2:$AW$9305,MATCH(B183,'Inventaire M'!$A:$A,0)-1,MATCH("Cours EUR",'Inventaire M'!#REF!,0)))</f>
        <v>#REF!</v>
      </c>
      <c r="F183" s="175" t="e">
        <f>IF(B183="-","",IF(ISERROR(INDEX('Inventaire M-1'!$A$2:$AZ$9320,MATCH(B183,'Inventaire M-1'!$A:$A,0)-1,MATCH("Cours EUR",'Inventaire M-1'!#REF!,0))),"Buy",INDEX('Inventaire M-1'!$A$2:$AZ$9320,MATCH(B183,'Inventaire M-1'!$A:$A,0)-1,MATCH("Cours EUR",'Inventaire M-1'!#REF!,0))))</f>
        <v>#REF!</v>
      </c>
      <c r="G183" s="175"/>
      <c r="H183" s="156" t="e">
        <f>IF(B183="-","",INDEX('Inventaire M'!$A$2:$AW$9305,MATCH(B183,'Inventaire M'!$A:$A,0)-1,MATCH("quantite",'Inventaire M'!#REF!,0)))</f>
        <v>#REF!</v>
      </c>
      <c r="I183" s="156" t="e">
        <f>IF(C183="-","",IF(ISERROR(INDEX('Inventaire M-1'!$A$2:$AZ$9320,MATCH(B183,'Inventaire M-1'!$A:$A,0)-1,MATCH("quantite",'Inventaire M-1'!#REF!,0))),"Buy",INDEX('Inventaire M-1'!$A$2:$AZ$9320,MATCH(B183,'Inventaire M-1'!$A:$A,0)-1,MATCH("quantite",'Inventaire M-1'!#REF!,0))))</f>
        <v>#REF!</v>
      </c>
      <c r="J183" s="175"/>
      <c r="K183" s="155" t="e">
        <f>IF(B183="-","",INDEX('Inventaire M'!$A$2:$AW$9305,MATCH(B183,'Inventaire M'!$A:$A,0)-1,MATCH("poids",'Inventaire M'!#REF!,0)))</f>
        <v>#REF!</v>
      </c>
      <c r="L183" s="155" t="e">
        <f>IF(B183="-","",IF(ISERROR(INDEX('Inventaire M-1'!$A$2:$AZ$9320,MATCH(B183,'Inventaire M-1'!$A:$A,0)-1,MATCH("poids",'Inventaire M-1'!#REF!,0))),"Buy",INDEX('Inventaire M-1'!$A$2:$AZ$9320,MATCH(B183,'Inventaire M-1'!$A:$A,0)-1,MATCH("poids",'Inventaire M-1'!#REF!,0))))</f>
        <v>#REF!</v>
      </c>
      <c r="M183" s="175"/>
      <c r="N183" s="157" t="str">
        <f t="shared" si="12"/>
        <v>0</v>
      </c>
      <c r="O183" s="98" t="str">
        <f t="shared" si="13"/>
        <v/>
      </c>
      <c r="P183" s="80" t="e">
        <f t="shared" si="14"/>
        <v>#REF!</v>
      </c>
      <c r="Q183" s="75">
        <v>1.59E-8</v>
      </c>
      <c r="R183" s="175" t="e">
        <f>IF(OR('Inventaire M-1'!#REF!="Dispo/Liquidité Investie",'Inventaire M-1'!#REF!="Option/Future",'Inventaire M-1'!#REF!="TCN",'Inventaire M-1'!#REF!=""),"-",'Inventaire M-1'!#REF!)</f>
        <v>#REF!</v>
      </c>
      <c r="S183" s="175" t="e">
        <f>IF(OR('Inventaire M-1'!#REF!="Dispo/Liquidité Investie",'Inventaire M-1'!#REF!="Option/Future",'Inventaire M-1'!#REF!="TCN",'Inventaire M-1'!#REF!=""),"-",'Inventaire M-1'!#REF!)</f>
        <v>#REF!</v>
      </c>
      <c r="T183" s="175"/>
      <c r="U183" s="175" t="e">
        <f>IF(R183="-","",INDEX('Inventaire M-1'!$A$2:$AG$9334,MATCH(R183,'Inventaire M-1'!$A:$A,0)-1,MATCH("Cours EUR",'Inventaire M-1'!#REF!,0)))</f>
        <v>#REF!</v>
      </c>
      <c r="V183" s="175" t="e">
        <f>IF(R183="-","",IF(ISERROR(INDEX('Inventaire M'!$A$2:$AD$9319,MATCH(R183,'Inventaire M'!$A:$A,0)-1,MATCH("Cours EUR",'Inventaire M'!#REF!,0))),"Sell",INDEX('Inventaire M'!$A$2:$AD$9319,MATCH(R183,'Inventaire M'!$A:$A,0)-1,MATCH("Cours EUR",'Inventaire M'!#REF!,0))))</f>
        <v>#REF!</v>
      </c>
      <c r="W183" s="175"/>
      <c r="X183" s="156" t="e">
        <f>IF(R183="-","",INDEX('Inventaire M-1'!$A$2:$AG$9334,MATCH(R183,'Inventaire M-1'!$A:$A,0)-1,MATCH("quantite",'Inventaire M-1'!#REF!,0)))</f>
        <v>#REF!</v>
      </c>
      <c r="Y183" s="156" t="e">
        <f>IF(S183="-","",IF(ISERROR(INDEX('Inventaire M'!$A$2:$AD$9319,MATCH(R183,'Inventaire M'!$A:$A,0)-1,MATCH("quantite",'Inventaire M'!#REF!,0))),"Sell",INDEX('Inventaire M'!$A$2:$AD$9319,MATCH(R183,'Inventaire M'!$A:$A,0)-1,MATCH("quantite",'Inventaire M'!#REF!,0))))</f>
        <v>#REF!</v>
      </c>
      <c r="Z183" s="175"/>
      <c r="AA183" s="155" t="e">
        <f>IF(R183="-","",INDEX('Inventaire M-1'!$A$2:$AG$9334,MATCH(R183,'Inventaire M-1'!$A:$A,0)-1,MATCH("poids",'Inventaire M-1'!#REF!,0)))</f>
        <v>#REF!</v>
      </c>
      <c r="AB183" s="155" t="e">
        <f>IF(R183="-","",IF(ISERROR(INDEX('Inventaire M'!$A$2:$AD$9319,MATCH(R183,'Inventaire M'!$A:$A,0)-1,MATCH("poids",'Inventaire M'!#REF!,0))),"Sell",INDEX('Inventaire M'!$A$2:$AD$9319,MATCH(R183,'Inventaire M'!$A:$A,0)-1,MATCH("poids",'Inventaire M'!#REF!,0))))</f>
        <v>#REF!</v>
      </c>
      <c r="AC183" s="175"/>
      <c r="AD183" s="157" t="str">
        <f t="shared" si="15"/>
        <v>0</v>
      </c>
      <c r="AE183" s="98" t="str">
        <f t="shared" si="16"/>
        <v/>
      </c>
      <c r="AF183" s="80" t="e">
        <f t="shared" si="17"/>
        <v>#REF!</v>
      </c>
    </row>
    <row r="184" spans="2:32" outlineLevel="1">
      <c r="B184" s="175" t="e">
        <f>IF(OR('Inventaire M'!#REF!="Dispo/Liquidité Investie",'Inventaire M'!#REF!="Option/Future",'Inventaire M'!#REF!="TCN",'Inventaire M'!#REF!=""),"-",'Inventaire M'!#REF!)</f>
        <v>#REF!</v>
      </c>
      <c r="C184" s="175" t="e">
        <f>IF(OR('Inventaire M'!#REF!="Dispo/Liquidité Investie",'Inventaire M'!#REF!="Option/Future",'Inventaire M'!#REF!="TCN",'Inventaire M'!#REF!=""),"-",'Inventaire M'!#REF!)</f>
        <v>#REF!</v>
      </c>
      <c r="D184" s="175"/>
      <c r="E184" s="175" t="e">
        <f>IF(B184="-","",INDEX('Inventaire M'!$A$2:$AW$9305,MATCH(B184,'Inventaire M'!$A:$A,0)-1,MATCH("Cours EUR",'Inventaire M'!#REF!,0)))</f>
        <v>#REF!</v>
      </c>
      <c r="F184" s="175" t="e">
        <f>IF(B184="-","",IF(ISERROR(INDEX('Inventaire M-1'!$A$2:$AZ$9320,MATCH(B184,'Inventaire M-1'!$A:$A,0)-1,MATCH("Cours EUR",'Inventaire M-1'!#REF!,0))),"Buy",INDEX('Inventaire M-1'!$A$2:$AZ$9320,MATCH(B184,'Inventaire M-1'!$A:$A,0)-1,MATCH("Cours EUR",'Inventaire M-1'!#REF!,0))))</f>
        <v>#REF!</v>
      </c>
      <c r="G184" s="175"/>
      <c r="H184" s="156" t="e">
        <f>IF(B184="-","",INDEX('Inventaire M'!$A$2:$AW$9305,MATCH(B184,'Inventaire M'!$A:$A,0)-1,MATCH("quantite",'Inventaire M'!#REF!,0)))</f>
        <v>#REF!</v>
      </c>
      <c r="I184" s="156" t="e">
        <f>IF(C184="-","",IF(ISERROR(INDEX('Inventaire M-1'!$A$2:$AZ$9320,MATCH(B184,'Inventaire M-1'!$A:$A,0)-1,MATCH("quantite",'Inventaire M-1'!#REF!,0))),"Buy",INDEX('Inventaire M-1'!$A$2:$AZ$9320,MATCH(B184,'Inventaire M-1'!$A:$A,0)-1,MATCH("quantite",'Inventaire M-1'!#REF!,0))))</f>
        <v>#REF!</v>
      </c>
      <c r="J184" s="175"/>
      <c r="K184" s="155" t="e">
        <f>IF(B184="-","",INDEX('Inventaire M'!$A$2:$AW$9305,MATCH(B184,'Inventaire M'!$A:$A,0)-1,MATCH("poids",'Inventaire M'!#REF!,0)))</f>
        <v>#REF!</v>
      </c>
      <c r="L184" s="155" t="e">
        <f>IF(B184="-","",IF(ISERROR(INDEX('Inventaire M-1'!$A$2:$AZ$9320,MATCH(B184,'Inventaire M-1'!$A:$A,0)-1,MATCH("poids",'Inventaire M-1'!#REF!,0))),"Buy",INDEX('Inventaire M-1'!$A$2:$AZ$9320,MATCH(B184,'Inventaire M-1'!$A:$A,0)-1,MATCH("poids",'Inventaire M-1'!#REF!,0))))</f>
        <v>#REF!</v>
      </c>
      <c r="M184" s="175"/>
      <c r="N184" s="157" t="str">
        <f t="shared" si="12"/>
        <v>0</v>
      </c>
      <c r="O184" s="98" t="str">
        <f t="shared" si="13"/>
        <v/>
      </c>
      <c r="P184" s="80" t="e">
        <f t="shared" si="14"/>
        <v>#REF!</v>
      </c>
      <c r="Q184" s="75">
        <v>1.6000000000000001E-8</v>
      </c>
      <c r="R184" s="175" t="e">
        <f>IF(OR('Inventaire M-1'!#REF!="Dispo/Liquidité Investie",'Inventaire M-1'!#REF!="Option/Future",'Inventaire M-1'!#REF!="TCN",'Inventaire M-1'!#REF!=""),"-",'Inventaire M-1'!#REF!)</f>
        <v>#REF!</v>
      </c>
      <c r="S184" s="175" t="e">
        <f>IF(OR('Inventaire M-1'!#REF!="Dispo/Liquidité Investie",'Inventaire M-1'!#REF!="Option/Future",'Inventaire M-1'!#REF!="TCN",'Inventaire M-1'!#REF!=""),"-",'Inventaire M-1'!#REF!)</f>
        <v>#REF!</v>
      </c>
      <c r="T184" s="175"/>
      <c r="U184" s="175" t="e">
        <f>IF(R184="-","",INDEX('Inventaire M-1'!$A$2:$AG$9334,MATCH(R184,'Inventaire M-1'!$A:$A,0)-1,MATCH("Cours EUR",'Inventaire M-1'!#REF!,0)))</f>
        <v>#REF!</v>
      </c>
      <c r="V184" s="175" t="e">
        <f>IF(R184="-","",IF(ISERROR(INDEX('Inventaire M'!$A$2:$AD$9319,MATCH(R184,'Inventaire M'!$A:$A,0)-1,MATCH("Cours EUR",'Inventaire M'!#REF!,0))),"Sell",INDEX('Inventaire M'!$A$2:$AD$9319,MATCH(R184,'Inventaire M'!$A:$A,0)-1,MATCH("Cours EUR",'Inventaire M'!#REF!,0))))</f>
        <v>#REF!</v>
      </c>
      <c r="W184" s="175"/>
      <c r="X184" s="156" t="e">
        <f>IF(R184="-","",INDEX('Inventaire M-1'!$A$2:$AG$9334,MATCH(R184,'Inventaire M-1'!$A:$A,0)-1,MATCH("quantite",'Inventaire M-1'!#REF!,0)))</f>
        <v>#REF!</v>
      </c>
      <c r="Y184" s="156" t="e">
        <f>IF(S184="-","",IF(ISERROR(INDEX('Inventaire M'!$A$2:$AD$9319,MATCH(R184,'Inventaire M'!$A:$A,0)-1,MATCH("quantite",'Inventaire M'!#REF!,0))),"Sell",INDEX('Inventaire M'!$A$2:$AD$9319,MATCH(R184,'Inventaire M'!$A:$A,0)-1,MATCH("quantite",'Inventaire M'!#REF!,0))))</f>
        <v>#REF!</v>
      </c>
      <c r="Z184" s="175"/>
      <c r="AA184" s="155" t="e">
        <f>IF(R184="-","",INDEX('Inventaire M-1'!$A$2:$AG$9334,MATCH(R184,'Inventaire M-1'!$A:$A,0)-1,MATCH("poids",'Inventaire M-1'!#REF!,0)))</f>
        <v>#REF!</v>
      </c>
      <c r="AB184" s="155" t="e">
        <f>IF(R184="-","",IF(ISERROR(INDEX('Inventaire M'!$A$2:$AD$9319,MATCH(R184,'Inventaire M'!$A:$A,0)-1,MATCH("poids",'Inventaire M'!#REF!,0))),"Sell",INDEX('Inventaire M'!$A$2:$AD$9319,MATCH(R184,'Inventaire M'!$A:$A,0)-1,MATCH("poids",'Inventaire M'!#REF!,0))))</f>
        <v>#REF!</v>
      </c>
      <c r="AC184" s="175"/>
      <c r="AD184" s="157" t="str">
        <f t="shared" si="15"/>
        <v>0</v>
      </c>
      <c r="AE184" s="98" t="str">
        <f t="shared" si="16"/>
        <v/>
      </c>
      <c r="AF184" s="80" t="e">
        <f t="shared" si="17"/>
        <v>#REF!</v>
      </c>
    </row>
    <row r="185" spans="2:32" outlineLevel="1">
      <c r="B185" s="175" t="e">
        <f>IF(OR('Inventaire M'!#REF!="Dispo/Liquidité Investie",'Inventaire M'!#REF!="Option/Future",'Inventaire M'!#REF!="TCN",'Inventaire M'!#REF!=""),"-",'Inventaire M'!#REF!)</f>
        <v>#REF!</v>
      </c>
      <c r="C185" s="175" t="e">
        <f>IF(OR('Inventaire M'!#REF!="Dispo/Liquidité Investie",'Inventaire M'!#REF!="Option/Future",'Inventaire M'!#REF!="TCN",'Inventaire M'!#REF!=""),"-",'Inventaire M'!#REF!)</f>
        <v>#REF!</v>
      </c>
      <c r="D185" s="175"/>
      <c r="E185" s="175" t="e">
        <f>IF(B185="-","",INDEX('Inventaire M'!$A$2:$AW$9305,MATCH(B185,'Inventaire M'!$A:$A,0)-1,MATCH("Cours EUR",'Inventaire M'!#REF!,0)))</f>
        <v>#REF!</v>
      </c>
      <c r="F185" s="175" t="e">
        <f>IF(B185="-","",IF(ISERROR(INDEX('Inventaire M-1'!$A$2:$AZ$9320,MATCH(B185,'Inventaire M-1'!$A:$A,0)-1,MATCH("Cours EUR",'Inventaire M-1'!#REF!,0))),"Buy",INDEX('Inventaire M-1'!$A$2:$AZ$9320,MATCH(B185,'Inventaire M-1'!$A:$A,0)-1,MATCH("Cours EUR",'Inventaire M-1'!#REF!,0))))</f>
        <v>#REF!</v>
      </c>
      <c r="G185" s="175"/>
      <c r="H185" s="156" t="e">
        <f>IF(B185="-","",INDEX('Inventaire M'!$A$2:$AW$9305,MATCH(B185,'Inventaire M'!$A:$A,0)-1,MATCH("quantite",'Inventaire M'!#REF!,0)))</f>
        <v>#REF!</v>
      </c>
      <c r="I185" s="156" t="e">
        <f>IF(C185="-","",IF(ISERROR(INDEX('Inventaire M-1'!$A$2:$AZ$9320,MATCH(B185,'Inventaire M-1'!$A:$A,0)-1,MATCH("quantite",'Inventaire M-1'!#REF!,0))),"Buy",INDEX('Inventaire M-1'!$A$2:$AZ$9320,MATCH(B185,'Inventaire M-1'!$A:$A,0)-1,MATCH("quantite",'Inventaire M-1'!#REF!,0))))</f>
        <v>#REF!</v>
      </c>
      <c r="J185" s="175"/>
      <c r="K185" s="155" t="e">
        <f>IF(B185="-","",INDEX('Inventaire M'!$A$2:$AW$9305,MATCH(B185,'Inventaire M'!$A:$A,0)-1,MATCH("poids",'Inventaire M'!#REF!,0)))</f>
        <v>#REF!</v>
      </c>
      <c r="L185" s="155" t="e">
        <f>IF(B185="-","",IF(ISERROR(INDEX('Inventaire M-1'!$A$2:$AZ$9320,MATCH(B185,'Inventaire M-1'!$A:$A,0)-1,MATCH("poids",'Inventaire M-1'!#REF!,0))),"Buy",INDEX('Inventaire M-1'!$A$2:$AZ$9320,MATCH(B185,'Inventaire M-1'!$A:$A,0)-1,MATCH("poids",'Inventaire M-1'!#REF!,0))))</f>
        <v>#REF!</v>
      </c>
      <c r="M185" s="175"/>
      <c r="N185" s="157" t="str">
        <f t="shared" si="12"/>
        <v>0</v>
      </c>
      <c r="O185" s="98" t="str">
        <f t="shared" si="13"/>
        <v/>
      </c>
      <c r="P185" s="80" t="e">
        <f t="shared" si="14"/>
        <v>#REF!</v>
      </c>
      <c r="Q185" s="75">
        <v>1.6099999999999999E-8</v>
      </c>
      <c r="R185" s="175" t="e">
        <f>IF(OR('Inventaire M-1'!#REF!="Dispo/Liquidité Investie",'Inventaire M-1'!#REF!="Option/Future",'Inventaire M-1'!#REF!="TCN",'Inventaire M-1'!#REF!=""),"-",'Inventaire M-1'!#REF!)</f>
        <v>#REF!</v>
      </c>
      <c r="S185" s="175" t="e">
        <f>IF(OR('Inventaire M-1'!#REF!="Dispo/Liquidité Investie",'Inventaire M-1'!#REF!="Option/Future",'Inventaire M-1'!#REF!="TCN",'Inventaire M-1'!#REF!=""),"-",'Inventaire M-1'!#REF!)</f>
        <v>#REF!</v>
      </c>
      <c r="T185" s="175"/>
      <c r="U185" s="175" t="e">
        <f>IF(R185="-","",INDEX('Inventaire M-1'!$A$2:$AG$9334,MATCH(R185,'Inventaire M-1'!$A:$A,0)-1,MATCH("Cours EUR",'Inventaire M-1'!#REF!,0)))</f>
        <v>#REF!</v>
      </c>
      <c r="V185" s="175" t="e">
        <f>IF(R185="-","",IF(ISERROR(INDEX('Inventaire M'!$A$2:$AD$9319,MATCH(R185,'Inventaire M'!$A:$A,0)-1,MATCH("Cours EUR",'Inventaire M'!#REF!,0))),"Sell",INDEX('Inventaire M'!$A$2:$AD$9319,MATCH(R185,'Inventaire M'!$A:$A,0)-1,MATCH("Cours EUR",'Inventaire M'!#REF!,0))))</f>
        <v>#REF!</v>
      </c>
      <c r="W185" s="175"/>
      <c r="X185" s="156" t="e">
        <f>IF(R185="-","",INDEX('Inventaire M-1'!$A$2:$AG$9334,MATCH(R185,'Inventaire M-1'!$A:$A,0)-1,MATCH("quantite",'Inventaire M-1'!#REF!,0)))</f>
        <v>#REF!</v>
      </c>
      <c r="Y185" s="156" t="e">
        <f>IF(S185="-","",IF(ISERROR(INDEX('Inventaire M'!$A$2:$AD$9319,MATCH(R185,'Inventaire M'!$A:$A,0)-1,MATCH("quantite",'Inventaire M'!#REF!,0))),"Sell",INDEX('Inventaire M'!$A$2:$AD$9319,MATCH(R185,'Inventaire M'!$A:$A,0)-1,MATCH("quantite",'Inventaire M'!#REF!,0))))</f>
        <v>#REF!</v>
      </c>
      <c r="Z185" s="175"/>
      <c r="AA185" s="155" t="e">
        <f>IF(R185="-","",INDEX('Inventaire M-1'!$A$2:$AG$9334,MATCH(R185,'Inventaire M-1'!$A:$A,0)-1,MATCH("poids",'Inventaire M-1'!#REF!,0)))</f>
        <v>#REF!</v>
      </c>
      <c r="AB185" s="155" t="e">
        <f>IF(R185="-","",IF(ISERROR(INDEX('Inventaire M'!$A$2:$AD$9319,MATCH(R185,'Inventaire M'!$A:$A,0)-1,MATCH("poids",'Inventaire M'!#REF!,0))),"Sell",INDEX('Inventaire M'!$A$2:$AD$9319,MATCH(R185,'Inventaire M'!$A:$A,0)-1,MATCH("poids",'Inventaire M'!#REF!,0))))</f>
        <v>#REF!</v>
      </c>
      <c r="AC185" s="175"/>
      <c r="AD185" s="157" t="str">
        <f t="shared" si="15"/>
        <v>0</v>
      </c>
      <c r="AE185" s="98" t="str">
        <f t="shared" si="16"/>
        <v/>
      </c>
      <c r="AF185" s="80" t="e">
        <f t="shared" si="17"/>
        <v>#REF!</v>
      </c>
    </row>
    <row r="186" spans="2:32" outlineLevel="1">
      <c r="B186" s="175" t="e">
        <f>IF(OR('Inventaire M'!#REF!="Dispo/Liquidité Investie",'Inventaire M'!#REF!="Option/Future",'Inventaire M'!#REF!="TCN",'Inventaire M'!#REF!=""),"-",'Inventaire M'!#REF!)</f>
        <v>#REF!</v>
      </c>
      <c r="C186" s="175" t="e">
        <f>IF(OR('Inventaire M'!#REF!="Dispo/Liquidité Investie",'Inventaire M'!#REF!="Option/Future",'Inventaire M'!#REF!="TCN",'Inventaire M'!#REF!=""),"-",'Inventaire M'!#REF!)</f>
        <v>#REF!</v>
      </c>
      <c r="D186" s="175"/>
      <c r="E186" s="175" t="e">
        <f>IF(B186="-","",INDEX('Inventaire M'!$A$2:$AW$9305,MATCH(B186,'Inventaire M'!$A:$A,0)-1,MATCH("Cours EUR",'Inventaire M'!#REF!,0)))</f>
        <v>#REF!</v>
      </c>
      <c r="F186" s="175" t="e">
        <f>IF(B186="-","",IF(ISERROR(INDEX('Inventaire M-1'!$A$2:$AZ$9320,MATCH(B186,'Inventaire M-1'!$A:$A,0)-1,MATCH("Cours EUR",'Inventaire M-1'!#REF!,0))),"Buy",INDEX('Inventaire M-1'!$A$2:$AZ$9320,MATCH(B186,'Inventaire M-1'!$A:$A,0)-1,MATCH("Cours EUR",'Inventaire M-1'!#REF!,0))))</f>
        <v>#REF!</v>
      </c>
      <c r="G186" s="175"/>
      <c r="H186" s="156" t="e">
        <f>IF(B186="-","",INDEX('Inventaire M'!$A$2:$AW$9305,MATCH(B186,'Inventaire M'!$A:$A,0)-1,MATCH("quantite",'Inventaire M'!#REF!,0)))</f>
        <v>#REF!</v>
      </c>
      <c r="I186" s="156" t="e">
        <f>IF(C186="-","",IF(ISERROR(INDEX('Inventaire M-1'!$A$2:$AZ$9320,MATCH(B186,'Inventaire M-1'!$A:$A,0)-1,MATCH("quantite",'Inventaire M-1'!#REF!,0))),"Buy",INDEX('Inventaire M-1'!$A$2:$AZ$9320,MATCH(B186,'Inventaire M-1'!$A:$A,0)-1,MATCH("quantite",'Inventaire M-1'!#REF!,0))))</f>
        <v>#REF!</v>
      </c>
      <c r="J186" s="175"/>
      <c r="K186" s="155" t="e">
        <f>IF(B186="-","",INDEX('Inventaire M'!$A$2:$AW$9305,MATCH(B186,'Inventaire M'!$A:$A,0)-1,MATCH("poids",'Inventaire M'!#REF!,0)))</f>
        <v>#REF!</v>
      </c>
      <c r="L186" s="155" t="e">
        <f>IF(B186="-","",IF(ISERROR(INDEX('Inventaire M-1'!$A$2:$AZ$9320,MATCH(B186,'Inventaire M-1'!$A:$A,0)-1,MATCH("poids",'Inventaire M-1'!#REF!,0))),"Buy",INDEX('Inventaire M-1'!$A$2:$AZ$9320,MATCH(B186,'Inventaire M-1'!$A:$A,0)-1,MATCH("poids",'Inventaire M-1'!#REF!,0))))</f>
        <v>#REF!</v>
      </c>
      <c r="M186" s="175"/>
      <c r="N186" s="157" t="str">
        <f t="shared" si="12"/>
        <v>0</v>
      </c>
      <c r="O186" s="98" t="str">
        <f t="shared" si="13"/>
        <v/>
      </c>
      <c r="P186" s="80" t="e">
        <f t="shared" si="14"/>
        <v>#REF!</v>
      </c>
      <c r="Q186" s="75">
        <v>1.6199999999999999E-8</v>
      </c>
      <c r="R186" s="175" t="e">
        <f>IF(OR('Inventaire M-1'!#REF!="Dispo/Liquidité Investie",'Inventaire M-1'!#REF!="Option/Future",'Inventaire M-1'!#REF!="TCN",'Inventaire M-1'!#REF!=""),"-",'Inventaire M-1'!#REF!)</f>
        <v>#REF!</v>
      </c>
      <c r="S186" s="175" t="e">
        <f>IF(OR('Inventaire M-1'!#REF!="Dispo/Liquidité Investie",'Inventaire M-1'!#REF!="Option/Future",'Inventaire M-1'!#REF!="TCN",'Inventaire M-1'!#REF!=""),"-",'Inventaire M-1'!#REF!)</f>
        <v>#REF!</v>
      </c>
      <c r="T186" s="175"/>
      <c r="U186" s="175" t="e">
        <f>IF(R186="-","",INDEX('Inventaire M-1'!$A$2:$AG$9334,MATCH(R186,'Inventaire M-1'!$A:$A,0)-1,MATCH("Cours EUR",'Inventaire M-1'!#REF!,0)))</f>
        <v>#REF!</v>
      </c>
      <c r="V186" s="175" t="e">
        <f>IF(R186="-","",IF(ISERROR(INDEX('Inventaire M'!$A$2:$AD$9319,MATCH(R186,'Inventaire M'!$A:$A,0)-1,MATCH("Cours EUR",'Inventaire M'!#REF!,0))),"Sell",INDEX('Inventaire M'!$A$2:$AD$9319,MATCH(R186,'Inventaire M'!$A:$A,0)-1,MATCH("Cours EUR",'Inventaire M'!#REF!,0))))</f>
        <v>#REF!</v>
      </c>
      <c r="W186" s="175"/>
      <c r="X186" s="156" t="e">
        <f>IF(R186="-","",INDEX('Inventaire M-1'!$A$2:$AG$9334,MATCH(R186,'Inventaire M-1'!$A:$A,0)-1,MATCH("quantite",'Inventaire M-1'!#REF!,0)))</f>
        <v>#REF!</v>
      </c>
      <c r="Y186" s="156" t="e">
        <f>IF(S186="-","",IF(ISERROR(INDEX('Inventaire M'!$A$2:$AD$9319,MATCH(R186,'Inventaire M'!$A:$A,0)-1,MATCH("quantite",'Inventaire M'!#REF!,0))),"Sell",INDEX('Inventaire M'!$A$2:$AD$9319,MATCH(R186,'Inventaire M'!$A:$A,0)-1,MATCH("quantite",'Inventaire M'!#REF!,0))))</f>
        <v>#REF!</v>
      </c>
      <c r="Z186" s="175"/>
      <c r="AA186" s="155" t="e">
        <f>IF(R186="-","",INDEX('Inventaire M-1'!$A$2:$AG$9334,MATCH(R186,'Inventaire M-1'!$A:$A,0)-1,MATCH("poids",'Inventaire M-1'!#REF!,0)))</f>
        <v>#REF!</v>
      </c>
      <c r="AB186" s="155" t="e">
        <f>IF(R186="-","",IF(ISERROR(INDEX('Inventaire M'!$A$2:$AD$9319,MATCH(R186,'Inventaire M'!$A:$A,0)-1,MATCH("poids",'Inventaire M'!#REF!,0))),"Sell",INDEX('Inventaire M'!$A$2:$AD$9319,MATCH(R186,'Inventaire M'!$A:$A,0)-1,MATCH("poids",'Inventaire M'!#REF!,0))))</f>
        <v>#REF!</v>
      </c>
      <c r="AC186" s="175"/>
      <c r="AD186" s="157" t="str">
        <f t="shared" si="15"/>
        <v>0</v>
      </c>
      <c r="AE186" s="98" t="str">
        <f t="shared" si="16"/>
        <v/>
      </c>
      <c r="AF186" s="80" t="e">
        <f t="shared" si="17"/>
        <v>#REF!</v>
      </c>
    </row>
    <row r="187" spans="2:32" outlineLevel="1">
      <c r="B187" s="175" t="e">
        <f>IF(OR('Inventaire M'!#REF!="Dispo/Liquidité Investie",'Inventaire M'!#REF!="Option/Future",'Inventaire M'!#REF!="TCN",'Inventaire M'!#REF!=""),"-",'Inventaire M'!#REF!)</f>
        <v>#REF!</v>
      </c>
      <c r="C187" s="175" t="e">
        <f>IF(OR('Inventaire M'!#REF!="Dispo/Liquidité Investie",'Inventaire M'!#REF!="Option/Future",'Inventaire M'!#REF!="TCN",'Inventaire M'!#REF!=""),"-",'Inventaire M'!#REF!)</f>
        <v>#REF!</v>
      </c>
      <c r="D187" s="175"/>
      <c r="E187" s="175" t="e">
        <f>IF(B187="-","",INDEX('Inventaire M'!$A$2:$AW$9305,MATCH(B187,'Inventaire M'!$A:$A,0)-1,MATCH("Cours EUR",'Inventaire M'!#REF!,0)))</f>
        <v>#REF!</v>
      </c>
      <c r="F187" s="175" t="e">
        <f>IF(B187="-","",IF(ISERROR(INDEX('Inventaire M-1'!$A$2:$AZ$9320,MATCH(B187,'Inventaire M-1'!$A:$A,0)-1,MATCH("Cours EUR",'Inventaire M-1'!#REF!,0))),"Buy",INDEX('Inventaire M-1'!$A$2:$AZ$9320,MATCH(B187,'Inventaire M-1'!$A:$A,0)-1,MATCH("Cours EUR",'Inventaire M-1'!#REF!,0))))</f>
        <v>#REF!</v>
      </c>
      <c r="G187" s="175"/>
      <c r="H187" s="156" t="e">
        <f>IF(B187="-","",INDEX('Inventaire M'!$A$2:$AW$9305,MATCH(B187,'Inventaire M'!$A:$A,0)-1,MATCH("quantite",'Inventaire M'!#REF!,0)))</f>
        <v>#REF!</v>
      </c>
      <c r="I187" s="156" t="e">
        <f>IF(C187="-","",IF(ISERROR(INDEX('Inventaire M-1'!$A$2:$AZ$9320,MATCH(B187,'Inventaire M-1'!$A:$A,0)-1,MATCH("quantite",'Inventaire M-1'!#REF!,0))),"Buy",INDEX('Inventaire M-1'!$A$2:$AZ$9320,MATCH(B187,'Inventaire M-1'!$A:$A,0)-1,MATCH("quantite",'Inventaire M-1'!#REF!,0))))</f>
        <v>#REF!</v>
      </c>
      <c r="J187" s="175"/>
      <c r="K187" s="155" t="e">
        <f>IF(B187="-","",INDEX('Inventaire M'!$A$2:$AW$9305,MATCH(B187,'Inventaire M'!$A:$A,0)-1,MATCH("poids",'Inventaire M'!#REF!,0)))</f>
        <v>#REF!</v>
      </c>
      <c r="L187" s="155" t="e">
        <f>IF(B187="-","",IF(ISERROR(INDEX('Inventaire M-1'!$A$2:$AZ$9320,MATCH(B187,'Inventaire M-1'!$A:$A,0)-1,MATCH("poids",'Inventaire M-1'!#REF!,0))),"Buy",INDEX('Inventaire M-1'!$A$2:$AZ$9320,MATCH(B187,'Inventaire M-1'!$A:$A,0)-1,MATCH("poids",'Inventaire M-1'!#REF!,0))))</f>
        <v>#REF!</v>
      </c>
      <c r="M187" s="175"/>
      <c r="N187" s="157" t="str">
        <f t="shared" si="12"/>
        <v>0</v>
      </c>
      <c r="O187" s="98" t="str">
        <f t="shared" si="13"/>
        <v/>
      </c>
      <c r="P187" s="80" t="e">
        <f t="shared" si="14"/>
        <v>#REF!</v>
      </c>
      <c r="Q187" s="75">
        <v>1.63E-8</v>
      </c>
      <c r="R187" s="175" t="e">
        <f>IF(OR('Inventaire M-1'!#REF!="Dispo/Liquidité Investie",'Inventaire M-1'!#REF!="Option/Future",'Inventaire M-1'!#REF!="TCN",'Inventaire M-1'!#REF!=""),"-",'Inventaire M-1'!#REF!)</f>
        <v>#REF!</v>
      </c>
      <c r="S187" s="175" t="e">
        <f>IF(OR('Inventaire M-1'!#REF!="Dispo/Liquidité Investie",'Inventaire M-1'!#REF!="Option/Future",'Inventaire M-1'!#REF!="TCN",'Inventaire M-1'!#REF!=""),"-",'Inventaire M-1'!#REF!)</f>
        <v>#REF!</v>
      </c>
      <c r="T187" s="175"/>
      <c r="U187" s="175" t="e">
        <f>IF(R187="-","",INDEX('Inventaire M-1'!$A$2:$AG$9334,MATCH(R187,'Inventaire M-1'!$A:$A,0)-1,MATCH("Cours EUR",'Inventaire M-1'!#REF!,0)))</f>
        <v>#REF!</v>
      </c>
      <c r="V187" s="175" t="e">
        <f>IF(R187="-","",IF(ISERROR(INDEX('Inventaire M'!$A$2:$AD$9319,MATCH(R187,'Inventaire M'!$A:$A,0)-1,MATCH("Cours EUR",'Inventaire M'!#REF!,0))),"Sell",INDEX('Inventaire M'!$A$2:$AD$9319,MATCH(R187,'Inventaire M'!$A:$A,0)-1,MATCH("Cours EUR",'Inventaire M'!#REF!,0))))</f>
        <v>#REF!</v>
      </c>
      <c r="W187" s="175"/>
      <c r="X187" s="156" t="e">
        <f>IF(R187="-","",INDEX('Inventaire M-1'!$A$2:$AG$9334,MATCH(R187,'Inventaire M-1'!$A:$A,0)-1,MATCH("quantite",'Inventaire M-1'!#REF!,0)))</f>
        <v>#REF!</v>
      </c>
      <c r="Y187" s="156" t="e">
        <f>IF(S187="-","",IF(ISERROR(INDEX('Inventaire M'!$A$2:$AD$9319,MATCH(R187,'Inventaire M'!$A:$A,0)-1,MATCH("quantite",'Inventaire M'!#REF!,0))),"Sell",INDEX('Inventaire M'!$A$2:$AD$9319,MATCH(R187,'Inventaire M'!$A:$A,0)-1,MATCH("quantite",'Inventaire M'!#REF!,0))))</f>
        <v>#REF!</v>
      </c>
      <c r="Z187" s="175"/>
      <c r="AA187" s="155" t="e">
        <f>IF(R187="-","",INDEX('Inventaire M-1'!$A$2:$AG$9334,MATCH(R187,'Inventaire M-1'!$A:$A,0)-1,MATCH("poids",'Inventaire M-1'!#REF!,0)))</f>
        <v>#REF!</v>
      </c>
      <c r="AB187" s="155" t="e">
        <f>IF(R187="-","",IF(ISERROR(INDEX('Inventaire M'!$A$2:$AD$9319,MATCH(R187,'Inventaire M'!$A:$A,0)-1,MATCH("poids",'Inventaire M'!#REF!,0))),"Sell",INDEX('Inventaire M'!$A$2:$AD$9319,MATCH(R187,'Inventaire M'!$A:$A,0)-1,MATCH("poids",'Inventaire M'!#REF!,0))))</f>
        <v>#REF!</v>
      </c>
      <c r="AC187" s="175"/>
      <c r="AD187" s="157" t="str">
        <f t="shared" si="15"/>
        <v>0</v>
      </c>
      <c r="AE187" s="98" t="str">
        <f t="shared" si="16"/>
        <v/>
      </c>
      <c r="AF187" s="80" t="e">
        <f t="shared" si="17"/>
        <v>#REF!</v>
      </c>
    </row>
    <row r="188" spans="2:32" outlineLevel="1">
      <c r="B188" s="175" t="e">
        <f>IF(OR('Inventaire M'!#REF!="Dispo/Liquidité Investie",'Inventaire M'!#REF!="Option/Future",'Inventaire M'!#REF!="TCN",'Inventaire M'!#REF!=""),"-",'Inventaire M'!#REF!)</f>
        <v>#REF!</v>
      </c>
      <c r="C188" s="175" t="e">
        <f>IF(OR('Inventaire M'!#REF!="Dispo/Liquidité Investie",'Inventaire M'!#REF!="Option/Future",'Inventaire M'!#REF!="TCN",'Inventaire M'!#REF!=""),"-",'Inventaire M'!#REF!)</f>
        <v>#REF!</v>
      </c>
      <c r="D188" s="175"/>
      <c r="E188" s="175" t="e">
        <f>IF(B188="-","",INDEX('Inventaire M'!$A$2:$AW$9305,MATCH(B188,'Inventaire M'!$A:$A,0)-1,MATCH("Cours EUR",'Inventaire M'!#REF!,0)))</f>
        <v>#REF!</v>
      </c>
      <c r="F188" s="175" t="e">
        <f>IF(B188="-","",IF(ISERROR(INDEX('Inventaire M-1'!$A$2:$AZ$9320,MATCH(B188,'Inventaire M-1'!$A:$A,0)-1,MATCH("Cours EUR",'Inventaire M-1'!#REF!,0))),"Buy",INDEX('Inventaire M-1'!$A$2:$AZ$9320,MATCH(B188,'Inventaire M-1'!$A:$A,0)-1,MATCH("Cours EUR",'Inventaire M-1'!#REF!,0))))</f>
        <v>#REF!</v>
      </c>
      <c r="G188" s="175"/>
      <c r="H188" s="156" t="e">
        <f>IF(B188="-","",INDEX('Inventaire M'!$A$2:$AW$9305,MATCH(B188,'Inventaire M'!$A:$A,0)-1,MATCH("quantite",'Inventaire M'!#REF!,0)))</f>
        <v>#REF!</v>
      </c>
      <c r="I188" s="156" t="e">
        <f>IF(C188="-","",IF(ISERROR(INDEX('Inventaire M-1'!$A$2:$AZ$9320,MATCH(B188,'Inventaire M-1'!$A:$A,0)-1,MATCH("quantite",'Inventaire M-1'!#REF!,0))),"Buy",INDEX('Inventaire M-1'!$A$2:$AZ$9320,MATCH(B188,'Inventaire M-1'!$A:$A,0)-1,MATCH("quantite",'Inventaire M-1'!#REF!,0))))</f>
        <v>#REF!</v>
      </c>
      <c r="J188" s="175"/>
      <c r="K188" s="155" t="e">
        <f>IF(B188="-","",INDEX('Inventaire M'!$A$2:$AW$9305,MATCH(B188,'Inventaire M'!$A:$A,0)-1,MATCH("poids",'Inventaire M'!#REF!,0)))</f>
        <v>#REF!</v>
      </c>
      <c r="L188" s="155" t="e">
        <f>IF(B188="-","",IF(ISERROR(INDEX('Inventaire M-1'!$A$2:$AZ$9320,MATCH(B188,'Inventaire M-1'!$A:$A,0)-1,MATCH("poids",'Inventaire M-1'!#REF!,0))),"Buy",INDEX('Inventaire M-1'!$A$2:$AZ$9320,MATCH(B188,'Inventaire M-1'!$A:$A,0)-1,MATCH("poids",'Inventaire M-1'!#REF!,0))))</f>
        <v>#REF!</v>
      </c>
      <c r="M188" s="175"/>
      <c r="N188" s="157" t="str">
        <f t="shared" si="12"/>
        <v>0</v>
      </c>
      <c r="O188" s="98" t="str">
        <f t="shared" si="13"/>
        <v/>
      </c>
      <c r="P188" s="80" t="e">
        <f t="shared" si="14"/>
        <v>#REF!</v>
      </c>
      <c r="Q188" s="75">
        <v>1.6400000000000001E-8</v>
      </c>
      <c r="R188" s="175" t="e">
        <f>IF(OR('Inventaire M-1'!#REF!="Dispo/Liquidité Investie",'Inventaire M-1'!#REF!="Option/Future",'Inventaire M-1'!#REF!="TCN",'Inventaire M-1'!#REF!=""),"-",'Inventaire M-1'!#REF!)</f>
        <v>#REF!</v>
      </c>
      <c r="S188" s="175" t="e">
        <f>IF(OR('Inventaire M-1'!#REF!="Dispo/Liquidité Investie",'Inventaire M-1'!#REF!="Option/Future",'Inventaire M-1'!#REF!="TCN",'Inventaire M-1'!#REF!=""),"-",'Inventaire M-1'!#REF!)</f>
        <v>#REF!</v>
      </c>
      <c r="T188" s="175"/>
      <c r="U188" s="175" t="e">
        <f>IF(R188="-","",INDEX('Inventaire M-1'!$A$2:$AG$9334,MATCH(R188,'Inventaire M-1'!$A:$A,0)-1,MATCH("Cours EUR",'Inventaire M-1'!#REF!,0)))</f>
        <v>#REF!</v>
      </c>
      <c r="V188" s="175" t="e">
        <f>IF(R188="-","",IF(ISERROR(INDEX('Inventaire M'!$A$2:$AD$9319,MATCH(R188,'Inventaire M'!$A:$A,0)-1,MATCH("Cours EUR",'Inventaire M'!#REF!,0))),"Sell",INDEX('Inventaire M'!$A$2:$AD$9319,MATCH(R188,'Inventaire M'!$A:$A,0)-1,MATCH("Cours EUR",'Inventaire M'!#REF!,0))))</f>
        <v>#REF!</v>
      </c>
      <c r="W188" s="175"/>
      <c r="X188" s="156" t="e">
        <f>IF(R188="-","",INDEX('Inventaire M-1'!$A$2:$AG$9334,MATCH(R188,'Inventaire M-1'!$A:$A,0)-1,MATCH("quantite",'Inventaire M-1'!#REF!,0)))</f>
        <v>#REF!</v>
      </c>
      <c r="Y188" s="156" t="e">
        <f>IF(S188="-","",IF(ISERROR(INDEX('Inventaire M'!$A$2:$AD$9319,MATCH(R188,'Inventaire M'!$A:$A,0)-1,MATCH("quantite",'Inventaire M'!#REF!,0))),"Sell",INDEX('Inventaire M'!$A$2:$AD$9319,MATCH(R188,'Inventaire M'!$A:$A,0)-1,MATCH("quantite",'Inventaire M'!#REF!,0))))</f>
        <v>#REF!</v>
      </c>
      <c r="Z188" s="175"/>
      <c r="AA188" s="155" t="e">
        <f>IF(R188="-","",INDEX('Inventaire M-1'!$A$2:$AG$9334,MATCH(R188,'Inventaire M-1'!$A:$A,0)-1,MATCH("poids",'Inventaire M-1'!#REF!,0)))</f>
        <v>#REF!</v>
      </c>
      <c r="AB188" s="155" t="e">
        <f>IF(R188="-","",IF(ISERROR(INDEX('Inventaire M'!$A$2:$AD$9319,MATCH(R188,'Inventaire M'!$A:$A,0)-1,MATCH("poids",'Inventaire M'!#REF!,0))),"Sell",INDEX('Inventaire M'!$A$2:$AD$9319,MATCH(R188,'Inventaire M'!$A:$A,0)-1,MATCH("poids",'Inventaire M'!#REF!,0))))</f>
        <v>#REF!</v>
      </c>
      <c r="AC188" s="175"/>
      <c r="AD188" s="157" t="str">
        <f t="shared" si="15"/>
        <v>0</v>
      </c>
      <c r="AE188" s="98" t="str">
        <f t="shared" si="16"/>
        <v/>
      </c>
      <c r="AF188" s="80" t="e">
        <f t="shared" si="17"/>
        <v>#REF!</v>
      </c>
    </row>
    <row r="189" spans="2:32" outlineLevel="1">
      <c r="B189" s="175" t="e">
        <f>IF(OR('Inventaire M'!#REF!="Dispo/Liquidité Investie",'Inventaire M'!#REF!="Option/Future",'Inventaire M'!#REF!="TCN",'Inventaire M'!#REF!=""),"-",'Inventaire M'!#REF!)</f>
        <v>#REF!</v>
      </c>
      <c r="C189" s="175" t="e">
        <f>IF(OR('Inventaire M'!#REF!="Dispo/Liquidité Investie",'Inventaire M'!#REF!="Option/Future",'Inventaire M'!#REF!="TCN",'Inventaire M'!#REF!=""),"-",'Inventaire M'!#REF!)</f>
        <v>#REF!</v>
      </c>
      <c r="D189" s="175"/>
      <c r="E189" s="175" t="e">
        <f>IF(B189="-","",INDEX('Inventaire M'!$A$2:$AW$9305,MATCH(B189,'Inventaire M'!$A:$A,0)-1,MATCH("Cours EUR",'Inventaire M'!#REF!,0)))</f>
        <v>#REF!</v>
      </c>
      <c r="F189" s="175" t="e">
        <f>IF(B189="-","",IF(ISERROR(INDEX('Inventaire M-1'!$A$2:$AZ$9320,MATCH(B189,'Inventaire M-1'!$A:$A,0)-1,MATCH("Cours EUR",'Inventaire M-1'!#REF!,0))),"Buy",INDEX('Inventaire M-1'!$A$2:$AZ$9320,MATCH(B189,'Inventaire M-1'!$A:$A,0)-1,MATCH("Cours EUR",'Inventaire M-1'!#REF!,0))))</f>
        <v>#REF!</v>
      </c>
      <c r="G189" s="175"/>
      <c r="H189" s="156" t="e">
        <f>IF(B189="-","",INDEX('Inventaire M'!$A$2:$AW$9305,MATCH(B189,'Inventaire M'!$A:$A,0)-1,MATCH("quantite",'Inventaire M'!#REF!,0)))</f>
        <v>#REF!</v>
      </c>
      <c r="I189" s="156" t="e">
        <f>IF(C189="-","",IF(ISERROR(INDEX('Inventaire M-1'!$A$2:$AZ$9320,MATCH(B189,'Inventaire M-1'!$A:$A,0)-1,MATCH("quantite",'Inventaire M-1'!#REF!,0))),"Buy",INDEX('Inventaire M-1'!$A$2:$AZ$9320,MATCH(B189,'Inventaire M-1'!$A:$A,0)-1,MATCH("quantite",'Inventaire M-1'!#REF!,0))))</f>
        <v>#REF!</v>
      </c>
      <c r="J189" s="175"/>
      <c r="K189" s="155" t="e">
        <f>IF(B189="-","",INDEX('Inventaire M'!$A$2:$AW$9305,MATCH(B189,'Inventaire M'!$A:$A,0)-1,MATCH("poids",'Inventaire M'!#REF!,0)))</f>
        <v>#REF!</v>
      </c>
      <c r="L189" s="155" t="e">
        <f>IF(B189="-","",IF(ISERROR(INDEX('Inventaire M-1'!$A$2:$AZ$9320,MATCH(B189,'Inventaire M-1'!$A:$A,0)-1,MATCH("poids",'Inventaire M-1'!#REF!,0))),"Buy",INDEX('Inventaire M-1'!$A$2:$AZ$9320,MATCH(B189,'Inventaire M-1'!$A:$A,0)-1,MATCH("poids",'Inventaire M-1'!#REF!,0))))</f>
        <v>#REF!</v>
      </c>
      <c r="M189" s="175"/>
      <c r="N189" s="157" t="str">
        <f t="shared" si="12"/>
        <v>0</v>
      </c>
      <c r="O189" s="98" t="str">
        <f t="shared" si="13"/>
        <v/>
      </c>
      <c r="P189" s="80" t="e">
        <f t="shared" si="14"/>
        <v>#REF!</v>
      </c>
      <c r="Q189" s="75">
        <v>1.6499999999999999E-8</v>
      </c>
      <c r="R189" s="175" t="e">
        <f>IF(OR('Inventaire M-1'!#REF!="Dispo/Liquidité Investie",'Inventaire M-1'!#REF!="Option/Future",'Inventaire M-1'!#REF!="TCN",'Inventaire M-1'!#REF!=""),"-",'Inventaire M-1'!#REF!)</f>
        <v>#REF!</v>
      </c>
      <c r="S189" s="175" t="e">
        <f>IF(OR('Inventaire M-1'!#REF!="Dispo/Liquidité Investie",'Inventaire M-1'!#REF!="Option/Future",'Inventaire M-1'!#REF!="TCN",'Inventaire M-1'!#REF!=""),"-",'Inventaire M-1'!#REF!)</f>
        <v>#REF!</v>
      </c>
      <c r="T189" s="175"/>
      <c r="U189" s="175" t="e">
        <f>IF(R189="-","",INDEX('Inventaire M-1'!$A$2:$AG$9334,MATCH(R189,'Inventaire M-1'!$A:$A,0)-1,MATCH("Cours EUR",'Inventaire M-1'!#REF!,0)))</f>
        <v>#REF!</v>
      </c>
      <c r="V189" s="175" t="e">
        <f>IF(R189="-","",IF(ISERROR(INDEX('Inventaire M'!$A$2:$AD$9319,MATCH(R189,'Inventaire M'!$A:$A,0)-1,MATCH("Cours EUR",'Inventaire M'!#REF!,0))),"Sell",INDEX('Inventaire M'!$A$2:$AD$9319,MATCH(R189,'Inventaire M'!$A:$A,0)-1,MATCH("Cours EUR",'Inventaire M'!#REF!,0))))</f>
        <v>#REF!</v>
      </c>
      <c r="W189" s="175"/>
      <c r="X189" s="156" t="e">
        <f>IF(R189="-","",INDEX('Inventaire M-1'!$A$2:$AG$9334,MATCH(R189,'Inventaire M-1'!$A:$A,0)-1,MATCH("quantite",'Inventaire M-1'!#REF!,0)))</f>
        <v>#REF!</v>
      </c>
      <c r="Y189" s="156" t="e">
        <f>IF(S189="-","",IF(ISERROR(INDEX('Inventaire M'!$A$2:$AD$9319,MATCH(R189,'Inventaire M'!$A:$A,0)-1,MATCH("quantite",'Inventaire M'!#REF!,0))),"Sell",INDEX('Inventaire M'!$A$2:$AD$9319,MATCH(R189,'Inventaire M'!$A:$A,0)-1,MATCH("quantite",'Inventaire M'!#REF!,0))))</f>
        <v>#REF!</v>
      </c>
      <c r="Z189" s="175"/>
      <c r="AA189" s="155" t="e">
        <f>IF(R189="-","",INDEX('Inventaire M-1'!$A$2:$AG$9334,MATCH(R189,'Inventaire M-1'!$A:$A,0)-1,MATCH("poids",'Inventaire M-1'!#REF!,0)))</f>
        <v>#REF!</v>
      </c>
      <c r="AB189" s="155" t="e">
        <f>IF(R189="-","",IF(ISERROR(INDEX('Inventaire M'!$A$2:$AD$9319,MATCH(R189,'Inventaire M'!$A:$A,0)-1,MATCH("poids",'Inventaire M'!#REF!,0))),"Sell",INDEX('Inventaire M'!$A$2:$AD$9319,MATCH(R189,'Inventaire M'!$A:$A,0)-1,MATCH("poids",'Inventaire M'!#REF!,0))))</f>
        <v>#REF!</v>
      </c>
      <c r="AC189" s="175"/>
      <c r="AD189" s="157" t="str">
        <f t="shared" si="15"/>
        <v>0</v>
      </c>
      <c r="AE189" s="98" t="str">
        <f t="shared" si="16"/>
        <v/>
      </c>
      <c r="AF189" s="80" t="e">
        <f t="shared" si="17"/>
        <v>#REF!</v>
      </c>
    </row>
    <row r="190" spans="2:32" outlineLevel="1">
      <c r="B190" s="175" t="e">
        <f>IF(OR('Inventaire M'!#REF!="Dispo/Liquidité Investie",'Inventaire M'!#REF!="Option/Future",'Inventaire M'!#REF!="TCN",'Inventaire M'!#REF!=""),"-",'Inventaire M'!#REF!)</f>
        <v>#REF!</v>
      </c>
      <c r="C190" s="175" t="e">
        <f>IF(OR('Inventaire M'!#REF!="Dispo/Liquidité Investie",'Inventaire M'!#REF!="Option/Future",'Inventaire M'!#REF!="TCN",'Inventaire M'!#REF!=""),"-",'Inventaire M'!#REF!)</f>
        <v>#REF!</v>
      </c>
      <c r="D190" s="175"/>
      <c r="E190" s="175" t="e">
        <f>IF(B190="-","",INDEX('Inventaire M'!$A$2:$AW$9305,MATCH(B190,'Inventaire M'!$A:$A,0)-1,MATCH("Cours EUR",'Inventaire M'!#REF!,0)))</f>
        <v>#REF!</v>
      </c>
      <c r="F190" s="175" t="e">
        <f>IF(B190="-","",IF(ISERROR(INDEX('Inventaire M-1'!$A$2:$AZ$9320,MATCH(B190,'Inventaire M-1'!$A:$A,0)-1,MATCH("Cours EUR",'Inventaire M-1'!#REF!,0))),"Buy",INDEX('Inventaire M-1'!$A$2:$AZ$9320,MATCH(B190,'Inventaire M-1'!$A:$A,0)-1,MATCH("Cours EUR",'Inventaire M-1'!#REF!,0))))</f>
        <v>#REF!</v>
      </c>
      <c r="G190" s="175"/>
      <c r="H190" s="156" t="e">
        <f>IF(B190="-","",INDEX('Inventaire M'!$A$2:$AW$9305,MATCH(B190,'Inventaire M'!$A:$A,0)-1,MATCH("quantite",'Inventaire M'!#REF!,0)))</f>
        <v>#REF!</v>
      </c>
      <c r="I190" s="156" t="e">
        <f>IF(C190="-","",IF(ISERROR(INDEX('Inventaire M-1'!$A$2:$AZ$9320,MATCH(B190,'Inventaire M-1'!$A:$A,0)-1,MATCH("quantite",'Inventaire M-1'!#REF!,0))),"Buy",INDEX('Inventaire M-1'!$A$2:$AZ$9320,MATCH(B190,'Inventaire M-1'!$A:$A,0)-1,MATCH("quantite",'Inventaire M-1'!#REF!,0))))</f>
        <v>#REF!</v>
      </c>
      <c r="J190" s="175"/>
      <c r="K190" s="155" t="e">
        <f>IF(B190="-","",INDEX('Inventaire M'!$A$2:$AW$9305,MATCH(B190,'Inventaire M'!$A:$A,0)-1,MATCH("poids",'Inventaire M'!#REF!,0)))</f>
        <v>#REF!</v>
      </c>
      <c r="L190" s="155" t="e">
        <f>IF(B190="-","",IF(ISERROR(INDEX('Inventaire M-1'!$A$2:$AZ$9320,MATCH(B190,'Inventaire M-1'!$A:$A,0)-1,MATCH("poids",'Inventaire M-1'!#REF!,0))),"Buy",INDEX('Inventaire M-1'!$A$2:$AZ$9320,MATCH(B190,'Inventaire M-1'!$A:$A,0)-1,MATCH("poids",'Inventaire M-1'!#REF!,0))))</f>
        <v>#REF!</v>
      </c>
      <c r="M190" s="175"/>
      <c r="N190" s="157" t="str">
        <f t="shared" si="12"/>
        <v>0</v>
      </c>
      <c r="O190" s="98" t="str">
        <f t="shared" si="13"/>
        <v/>
      </c>
      <c r="P190" s="80" t="e">
        <f t="shared" si="14"/>
        <v>#REF!</v>
      </c>
      <c r="Q190" s="75">
        <v>1.66E-8</v>
      </c>
      <c r="R190" s="175" t="e">
        <f>IF(OR('Inventaire M-1'!#REF!="Dispo/Liquidité Investie",'Inventaire M-1'!#REF!="Option/Future",'Inventaire M-1'!#REF!="TCN",'Inventaire M-1'!#REF!=""),"-",'Inventaire M-1'!#REF!)</f>
        <v>#REF!</v>
      </c>
      <c r="S190" s="175" t="e">
        <f>IF(OR('Inventaire M-1'!#REF!="Dispo/Liquidité Investie",'Inventaire M-1'!#REF!="Option/Future",'Inventaire M-1'!#REF!="TCN",'Inventaire M-1'!#REF!=""),"-",'Inventaire M-1'!#REF!)</f>
        <v>#REF!</v>
      </c>
      <c r="T190" s="175"/>
      <c r="U190" s="175" t="e">
        <f>IF(R190="-","",INDEX('Inventaire M-1'!$A$2:$AG$9334,MATCH(R190,'Inventaire M-1'!$A:$A,0)-1,MATCH("Cours EUR",'Inventaire M-1'!#REF!,0)))</f>
        <v>#REF!</v>
      </c>
      <c r="V190" s="175" t="e">
        <f>IF(R190="-","",IF(ISERROR(INDEX('Inventaire M'!$A$2:$AD$9319,MATCH(R190,'Inventaire M'!$A:$A,0)-1,MATCH("Cours EUR",'Inventaire M'!#REF!,0))),"Sell",INDEX('Inventaire M'!$A$2:$AD$9319,MATCH(R190,'Inventaire M'!$A:$A,0)-1,MATCH("Cours EUR",'Inventaire M'!#REF!,0))))</f>
        <v>#REF!</v>
      </c>
      <c r="W190" s="175"/>
      <c r="X190" s="156" t="e">
        <f>IF(R190="-","",INDEX('Inventaire M-1'!$A$2:$AG$9334,MATCH(R190,'Inventaire M-1'!$A:$A,0)-1,MATCH("quantite",'Inventaire M-1'!#REF!,0)))</f>
        <v>#REF!</v>
      </c>
      <c r="Y190" s="156" t="e">
        <f>IF(S190="-","",IF(ISERROR(INDEX('Inventaire M'!$A$2:$AD$9319,MATCH(R190,'Inventaire M'!$A:$A,0)-1,MATCH("quantite",'Inventaire M'!#REF!,0))),"Sell",INDEX('Inventaire M'!$A$2:$AD$9319,MATCH(R190,'Inventaire M'!$A:$A,0)-1,MATCH("quantite",'Inventaire M'!#REF!,0))))</f>
        <v>#REF!</v>
      </c>
      <c r="Z190" s="175"/>
      <c r="AA190" s="155" t="e">
        <f>IF(R190="-","",INDEX('Inventaire M-1'!$A$2:$AG$9334,MATCH(R190,'Inventaire M-1'!$A:$A,0)-1,MATCH("poids",'Inventaire M-1'!#REF!,0)))</f>
        <v>#REF!</v>
      </c>
      <c r="AB190" s="155" t="e">
        <f>IF(R190="-","",IF(ISERROR(INDEX('Inventaire M'!$A$2:$AD$9319,MATCH(R190,'Inventaire M'!$A:$A,0)-1,MATCH("poids",'Inventaire M'!#REF!,0))),"Sell",INDEX('Inventaire M'!$A$2:$AD$9319,MATCH(R190,'Inventaire M'!$A:$A,0)-1,MATCH("poids",'Inventaire M'!#REF!,0))))</f>
        <v>#REF!</v>
      </c>
      <c r="AC190" s="175"/>
      <c r="AD190" s="157" t="str">
        <f t="shared" si="15"/>
        <v>0</v>
      </c>
      <c r="AE190" s="98" t="str">
        <f t="shared" si="16"/>
        <v/>
      </c>
      <c r="AF190" s="80" t="e">
        <f t="shared" si="17"/>
        <v>#REF!</v>
      </c>
    </row>
    <row r="191" spans="2:32" outlineLevel="1">
      <c r="B191" s="175" t="e">
        <f>IF(OR('Inventaire M'!#REF!="Dispo/Liquidité Investie",'Inventaire M'!#REF!="Option/Future",'Inventaire M'!#REF!="TCN",'Inventaire M'!#REF!=""),"-",'Inventaire M'!#REF!)</f>
        <v>#REF!</v>
      </c>
      <c r="C191" s="175" t="e">
        <f>IF(OR('Inventaire M'!#REF!="Dispo/Liquidité Investie",'Inventaire M'!#REF!="Option/Future",'Inventaire M'!#REF!="TCN",'Inventaire M'!#REF!=""),"-",'Inventaire M'!#REF!)</f>
        <v>#REF!</v>
      </c>
      <c r="D191" s="175"/>
      <c r="E191" s="175" t="e">
        <f>IF(B191="-","",INDEX('Inventaire M'!$A$2:$AW$9305,MATCH(B191,'Inventaire M'!$A:$A,0)-1,MATCH("Cours EUR",'Inventaire M'!#REF!,0)))</f>
        <v>#REF!</v>
      </c>
      <c r="F191" s="175" t="e">
        <f>IF(B191="-","",IF(ISERROR(INDEX('Inventaire M-1'!$A$2:$AZ$9320,MATCH(B191,'Inventaire M-1'!$A:$A,0)-1,MATCH("Cours EUR",'Inventaire M-1'!#REF!,0))),"Buy",INDEX('Inventaire M-1'!$A$2:$AZ$9320,MATCH(B191,'Inventaire M-1'!$A:$A,0)-1,MATCH("Cours EUR",'Inventaire M-1'!#REF!,0))))</f>
        <v>#REF!</v>
      </c>
      <c r="G191" s="175"/>
      <c r="H191" s="156" t="e">
        <f>IF(B191="-","",INDEX('Inventaire M'!$A$2:$AW$9305,MATCH(B191,'Inventaire M'!$A:$A,0)-1,MATCH("quantite",'Inventaire M'!#REF!,0)))</f>
        <v>#REF!</v>
      </c>
      <c r="I191" s="156" t="e">
        <f>IF(C191="-","",IF(ISERROR(INDEX('Inventaire M-1'!$A$2:$AZ$9320,MATCH(B191,'Inventaire M-1'!$A:$A,0)-1,MATCH("quantite",'Inventaire M-1'!#REF!,0))),"Buy",INDEX('Inventaire M-1'!$A$2:$AZ$9320,MATCH(B191,'Inventaire M-1'!$A:$A,0)-1,MATCH("quantite",'Inventaire M-1'!#REF!,0))))</f>
        <v>#REF!</v>
      </c>
      <c r="J191" s="175"/>
      <c r="K191" s="155" t="e">
        <f>IF(B191="-","",INDEX('Inventaire M'!$A$2:$AW$9305,MATCH(B191,'Inventaire M'!$A:$A,0)-1,MATCH("poids",'Inventaire M'!#REF!,0)))</f>
        <v>#REF!</v>
      </c>
      <c r="L191" s="155" t="e">
        <f>IF(B191="-","",IF(ISERROR(INDEX('Inventaire M-1'!$A$2:$AZ$9320,MATCH(B191,'Inventaire M-1'!$A:$A,0)-1,MATCH("poids",'Inventaire M-1'!#REF!,0))),"Buy",INDEX('Inventaire M-1'!$A$2:$AZ$9320,MATCH(B191,'Inventaire M-1'!$A:$A,0)-1,MATCH("poids",'Inventaire M-1'!#REF!,0))))</f>
        <v>#REF!</v>
      </c>
      <c r="M191" s="175"/>
      <c r="N191" s="157" t="str">
        <f t="shared" si="12"/>
        <v>0</v>
      </c>
      <c r="O191" s="98" t="str">
        <f t="shared" si="13"/>
        <v/>
      </c>
      <c r="P191" s="80" t="e">
        <f t="shared" si="14"/>
        <v>#REF!</v>
      </c>
      <c r="Q191" s="75">
        <v>1.6700000000000001E-8</v>
      </c>
      <c r="R191" s="175" t="e">
        <f>IF(OR('Inventaire M-1'!#REF!="Dispo/Liquidité Investie",'Inventaire M-1'!#REF!="Option/Future",'Inventaire M-1'!#REF!="TCN",'Inventaire M-1'!#REF!=""),"-",'Inventaire M-1'!#REF!)</f>
        <v>#REF!</v>
      </c>
      <c r="S191" s="175" t="e">
        <f>IF(OR('Inventaire M-1'!#REF!="Dispo/Liquidité Investie",'Inventaire M-1'!#REF!="Option/Future",'Inventaire M-1'!#REF!="TCN",'Inventaire M-1'!#REF!=""),"-",'Inventaire M-1'!#REF!)</f>
        <v>#REF!</v>
      </c>
      <c r="T191" s="175"/>
      <c r="U191" s="175" t="e">
        <f>IF(R191="-","",INDEX('Inventaire M-1'!$A$2:$AG$9334,MATCH(R191,'Inventaire M-1'!$A:$A,0)-1,MATCH("Cours EUR",'Inventaire M-1'!#REF!,0)))</f>
        <v>#REF!</v>
      </c>
      <c r="V191" s="175" t="e">
        <f>IF(R191="-","",IF(ISERROR(INDEX('Inventaire M'!$A$2:$AD$9319,MATCH(R191,'Inventaire M'!$A:$A,0)-1,MATCH("Cours EUR",'Inventaire M'!#REF!,0))),"Sell",INDEX('Inventaire M'!$A$2:$AD$9319,MATCH(R191,'Inventaire M'!$A:$A,0)-1,MATCH("Cours EUR",'Inventaire M'!#REF!,0))))</f>
        <v>#REF!</v>
      </c>
      <c r="W191" s="175"/>
      <c r="X191" s="156" t="e">
        <f>IF(R191="-","",INDEX('Inventaire M-1'!$A$2:$AG$9334,MATCH(R191,'Inventaire M-1'!$A:$A,0)-1,MATCH("quantite",'Inventaire M-1'!#REF!,0)))</f>
        <v>#REF!</v>
      </c>
      <c r="Y191" s="156" t="e">
        <f>IF(S191="-","",IF(ISERROR(INDEX('Inventaire M'!$A$2:$AD$9319,MATCH(R191,'Inventaire M'!$A:$A,0)-1,MATCH("quantite",'Inventaire M'!#REF!,0))),"Sell",INDEX('Inventaire M'!$A$2:$AD$9319,MATCH(R191,'Inventaire M'!$A:$A,0)-1,MATCH("quantite",'Inventaire M'!#REF!,0))))</f>
        <v>#REF!</v>
      </c>
      <c r="Z191" s="175"/>
      <c r="AA191" s="155" t="e">
        <f>IF(R191="-","",INDEX('Inventaire M-1'!$A$2:$AG$9334,MATCH(R191,'Inventaire M-1'!$A:$A,0)-1,MATCH("poids",'Inventaire M-1'!#REF!,0)))</f>
        <v>#REF!</v>
      </c>
      <c r="AB191" s="155" t="e">
        <f>IF(R191="-","",IF(ISERROR(INDEX('Inventaire M'!$A$2:$AD$9319,MATCH(R191,'Inventaire M'!$A:$A,0)-1,MATCH("poids",'Inventaire M'!#REF!,0))),"Sell",INDEX('Inventaire M'!$A$2:$AD$9319,MATCH(R191,'Inventaire M'!$A:$A,0)-1,MATCH("poids",'Inventaire M'!#REF!,0))))</f>
        <v>#REF!</v>
      </c>
      <c r="AC191" s="175"/>
      <c r="AD191" s="157" t="str">
        <f t="shared" si="15"/>
        <v>0</v>
      </c>
      <c r="AE191" s="98" t="str">
        <f t="shared" si="16"/>
        <v/>
      </c>
      <c r="AF191" s="80" t="e">
        <f t="shared" si="17"/>
        <v>#REF!</v>
      </c>
    </row>
    <row r="192" spans="2:32" outlineLevel="1">
      <c r="B192" s="175" t="e">
        <f>IF(OR('Inventaire M'!#REF!="Dispo/Liquidité Investie",'Inventaire M'!#REF!="Option/Future",'Inventaire M'!#REF!="TCN",'Inventaire M'!#REF!=""),"-",'Inventaire M'!#REF!)</f>
        <v>#REF!</v>
      </c>
      <c r="C192" s="175" t="e">
        <f>IF(OR('Inventaire M'!#REF!="Dispo/Liquidité Investie",'Inventaire M'!#REF!="Option/Future",'Inventaire M'!#REF!="TCN",'Inventaire M'!#REF!=""),"-",'Inventaire M'!#REF!)</f>
        <v>#REF!</v>
      </c>
      <c r="D192" s="175"/>
      <c r="E192" s="175" t="e">
        <f>IF(B192="-","",INDEX('Inventaire M'!$A$2:$AW$9305,MATCH(B192,'Inventaire M'!$A:$A,0)-1,MATCH("Cours EUR",'Inventaire M'!#REF!,0)))</f>
        <v>#REF!</v>
      </c>
      <c r="F192" s="175" t="e">
        <f>IF(B192="-","",IF(ISERROR(INDEX('Inventaire M-1'!$A$2:$AZ$9320,MATCH(B192,'Inventaire M-1'!$A:$A,0)-1,MATCH("Cours EUR",'Inventaire M-1'!#REF!,0))),"Buy",INDEX('Inventaire M-1'!$A$2:$AZ$9320,MATCH(B192,'Inventaire M-1'!$A:$A,0)-1,MATCH("Cours EUR",'Inventaire M-1'!#REF!,0))))</f>
        <v>#REF!</v>
      </c>
      <c r="G192" s="175"/>
      <c r="H192" s="156" t="e">
        <f>IF(B192="-","",INDEX('Inventaire M'!$A$2:$AW$9305,MATCH(B192,'Inventaire M'!$A:$A,0)-1,MATCH("quantite",'Inventaire M'!#REF!,0)))</f>
        <v>#REF!</v>
      </c>
      <c r="I192" s="156" t="e">
        <f>IF(C192="-","",IF(ISERROR(INDEX('Inventaire M-1'!$A$2:$AZ$9320,MATCH(B192,'Inventaire M-1'!$A:$A,0)-1,MATCH("quantite",'Inventaire M-1'!#REF!,0))),"Buy",INDEX('Inventaire M-1'!$A$2:$AZ$9320,MATCH(B192,'Inventaire M-1'!$A:$A,0)-1,MATCH("quantite",'Inventaire M-1'!#REF!,0))))</f>
        <v>#REF!</v>
      </c>
      <c r="J192" s="175"/>
      <c r="K192" s="155" t="e">
        <f>IF(B192="-","",INDEX('Inventaire M'!$A$2:$AW$9305,MATCH(B192,'Inventaire M'!$A:$A,0)-1,MATCH("poids",'Inventaire M'!#REF!,0)))</f>
        <v>#REF!</v>
      </c>
      <c r="L192" s="155" t="e">
        <f>IF(B192="-","",IF(ISERROR(INDEX('Inventaire M-1'!$A$2:$AZ$9320,MATCH(B192,'Inventaire M-1'!$A:$A,0)-1,MATCH("poids",'Inventaire M-1'!#REF!,0))),"Buy",INDEX('Inventaire M-1'!$A$2:$AZ$9320,MATCH(B192,'Inventaire M-1'!$A:$A,0)-1,MATCH("poids",'Inventaire M-1'!#REF!,0))))</f>
        <v>#REF!</v>
      </c>
      <c r="M192" s="175"/>
      <c r="N192" s="157" t="str">
        <f t="shared" si="12"/>
        <v>0</v>
      </c>
      <c r="O192" s="98" t="str">
        <f t="shared" si="13"/>
        <v/>
      </c>
      <c r="P192" s="80" t="e">
        <f t="shared" si="14"/>
        <v>#REF!</v>
      </c>
      <c r="Q192" s="75">
        <v>1.6800000000000002E-8</v>
      </c>
      <c r="R192" s="175" t="e">
        <f>IF(OR('Inventaire M-1'!#REF!="Dispo/Liquidité Investie",'Inventaire M-1'!#REF!="Option/Future",'Inventaire M-1'!#REF!="TCN",'Inventaire M-1'!#REF!=""),"-",'Inventaire M-1'!#REF!)</f>
        <v>#REF!</v>
      </c>
      <c r="S192" s="175" t="e">
        <f>IF(OR('Inventaire M-1'!#REF!="Dispo/Liquidité Investie",'Inventaire M-1'!#REF!="Option/Future",'Inventaire M-1'!#REF!="TCN",'Inventaire M-1'!#REF!=""),"-",'Inventaire M-1'!#REF!)</f>
        <v>#REF!</v>
      </c>
      <c r="T192" s="175"/>
      <c r="U192" s="175" t="e">
        <f>IF(R192="-","",INDEX('Inventaire M-1'!$A$2:$AG$9334,MATCH(R192,'Inventaire M-1'!$A:$A,0)-1,MATCH("Cours EUR",'Inventaire M-1'!#REF!,0)))</f>
        <v>#REF!</v>
      </c>
      <c r="V192" s="175" t="e">
        <f>IF(R192="-","",IF(ISERROR(INDEX('Inventaire M'!$A$2:$AD$9319,MATCH(R192,'Inventaire M'!$A:$A,0)-1,MATCH("Cours EUR",'Inventaire M'!#REF!,0))),"Sell",INDEX('Inventaire M'!$A$2:$AD$9319,MATCH(R192,'Inventaire M'!$A:$A,0)-1,MATCH("Cours EUR",'Inventaire M'!#REF!,0))))</f>
        <v>#REF!</v>
      </c>
      <c r="W192" s="175"/>
      <c r="X192" s="156" t="e">
        <f>IF(R192="-","",INDEX('Inventaire M-1'!$A$2:$AG$9334,MATCH(R192,'Inventaire M-1'!$A:$A,0)-1,MATCH("quantite",'Inventaire M-1'!#REF!,0)))</f>
        <v>#REF!</v>
      </c>
      <c r="Y192" s="156" t="e">
        <f>IF(S192="-","",IF(ISERROR(INDEX('Inventaire M'!$A$2:$AD$9319,MATCH(R192,'Inventaire M'!$A:$A,0)-1,MATCH("quantite",'Inventaire M'!#REF!,0))),"Sell",INDEX('Inventaire M'!$A$2:$AD$9319,MATCH(R192,'Inventaire M'!$A:$A,0)-1,MATCH("quantite",'Inventaire M'!#REF!,0))))</f>
        <v>#REF!</v>
      </c>
      <c r="Z192" s="175"/>
      <c r="AA192" s="155" t="e">
        <f>IF(R192="-","",INDEX('Inventaire M-1'!$A$2:$AG$9334,MATCH(R192,'Inventaire M-1'!$A:$A,0)-1,MATCH("poids",'Inventaire M-1'!#REF!,0)))</f>
        <v>#REF!</v>
      </c>
      <c r="AB192" s="155" t="e">
        <f>IF(R192="-","",IF(ISERROR(INDEX('Inventaire M'!$A$2:$AD$9319,MATCH(R192,'Inventaire M'!$A:$A,0)-1,MATCH("poids",'Inventaire M'!#REF!,0))),"Sell",INDEX('Inventaire M'!$A$2:$AD$9319,MATCH(R192,'Inventaire M'!$A:$A,0)-1,MATCH("poids",'Inventaire M'!#REF!,0))))</f>
        <v>#REF!</v>
      </c>
      <c r="AC192" s="175"/>
      <c r="AD192" s="157" t="str">
        <f t="shared" si="15"/>
        <v>0</v>
      </c>
      <c r="AE192" s="98" t="str">
        <f t="shared" si="16"/>
        <v/>
      </c>
      <c r="AF192" s="80" t="e">
        <f t="shared" si="17"/>
        <v>#REF!</v>
      </c>
    </row>
    <row r="193" spans="2:32" outlineLevel="1">
      <c r="B193" s="175" t="e">
        <f>IF(OR('Inventaire M'!#REF!="Dispo/Liquidité Investie",'Inventaire M'!#REF!="Option/Future",'Inventaire M'!#REF!="TCN",'Inventaire M'!#REF!=""),"-",'Inventaire M'!#REF!)</f>
        <v>#REF!</v>
      </c>
      <c r="C193" s="175" t="e">
        <f>IF(OR('Inventaire M'!#REF!="Dispo/Liquidité Investie",'Inventaire M'!#REF!="Option/Future",'Inventaire M'!#REF!="TCN",'Inventaire M'!#REF!=""),"-",'Inventaire M'!#REF!)</f>
        <v>#REF!</v>
      </c>
      <c r="D193" s="175"/>
      <c r="E193" s="175" t="e">
        <f>IF(B193="-","",INDEX('Inventaire M'!$A$2:$AW$9305,MATCH(B193,'Inventaire M'!$A:$A,0)-1,MATCH("Cours EUR",'Inventaire M'!#REF!,0)))</f>
        <v>#REF!</v>
      </c>
      <c r="F193" s="175" t="e">
        <f>IF(B193="-","",IF(ISERROR(INDEX('Inventaire M-1'!$A$2:$AZ$9320,MATCH(B193,'Inventaire M-1'!$A:$A,0)-1,MATCH("Cours EUR",'Inventaire M-1'!#REF!,0))),"Buy",INDEX('Inventaire M-1'!$A$2:$AZ$9320,MATCH(B193,'Inventaire M-1'!$A:$A,0)-1,MATCH("Cours EUR",'Inventaire M-1'!#REF!,0))))</f>
        <v>#REF!</v>
      </c>
      <c r="G193" s="175"/>
      <c r="H193" s="156" t="e">
        <f>IF(B193="-","",INDEX('Inventaire M'!$A$2:$AW$9305,MATCH(B193,'Inventaire M'!$A:$A,0)-1,MATCH("quantite",'Inventaire M'!#REF!,0)))</f>
        <v>#REF!</v>
      </c>
      <c r="I193" s="156" t="e">
        <f>IF(C193="-","",IF(ISERROR(INDEX('Inventaire M-1'!$A$2:$AZ$9320,MATCH(B193,'Inventaire M-1'!$A:$A,0)-1,MATCH("quantite",'Inventaire M-1'!#REF!,0))),"Buy",INDEX('Inventaire M-1'!$A$2:$AZ$9320,MATCH(B193,'Inventaire M-1'!$A:$A,0)-1,MATCH("quantite",'Inventaire M-1'!#REF!,0))))</f>
        <v>#REF!</v>
      </c>
      <c r="J193" s="175"/>
      <c r="K193" s="155" t="e">
        <f>IF(B193="-","",INDEX('Inventaire M'!$A$2:$AW$9305,MATCH(B193,'Inventaire M'!$A:$A,0)-1,MATCH("poids",'Inventaire M'!#REF!,0)))</f>
        <v>#REF!</v>
      </c>
      <c r="L193" s="155" t="e">
        <f>IF(B193="-","",IF(ISERROR(INDEX('Inventaire M-1'!$A$2:$AZ$9320,MATCH(B193,'Inventaire M-1'!$A:$A,0)-1,MATCH("poids",'Inventaire M-1'!#REF!,0))),"Buy",INDEX('Inventaire M-1'!$A$2:$AZ$9320,MATCH(B193,'Inventaire M-1'!$A:$A,0)-1,MATCH("poids",'Inventaire M-1'!#REF!,0))))</f>
        <v>#REF!</v>
      </c>
      <c r="M193" s="175"/>
      <c r="N193" s="157" t="str">
        <f t="shared" si="12"/>
        <v>0</v>
      </c>
      <c r="O193" s="98" t="str">
        <f t="shared" si="13"/>
        <v/>
      </c>
      <c r="P193" s="80" t="e">
        <f t="shared" si="14"/>
        <v>#REF!</v>
      </c>
      <c r="Q193" s="75">
        <v>1.6899999999999999E-8</v>
      </c>
      <c r="R193" s="175" t="e">
        <f>IF(OR('Inventaire M-1'!#REF!="Dispo/Liquidité Investie",'Inventaire M-1'!#REF!="Option/Future",'Inventaire M-1'!#REF!="TCN",'Inventaire M-1'!#REF!=""),"-",'Inventaire M-1'!#REF!)</f>
        <v>#REF!</v>
      </c>
      <c r="S193" s="175" t="e">
        <f>IF(OR('Inventaire M-1'!#REF!="Dispo/Liquidité Investie",'Inventaire M-1'!#REF!="Option/Future",'Inventaire M-1'!#REF!="TCN",'Inventaire M-1'!#REF!=""),"-",'Inventaire M-1'!#REF!)</f>
        <v>#REF!</v>
      </c>
      <c r="T193" s="175"/>
      <c r="U193" s="175" t="e">
        <f>IF(R193="-","",INDEX('Inventaire M-1'!$A$2:$AG$9334,MATCH(R193,'Inventaire M-1'!$A:$A,0)-1,MATCH("Cours EUR",'Inventaire M-1'!#REF!,0)))</f>
        <v>#REF!</v>
      </c>
      <c r="V193" s="175" t="e">
        <f>IF(R193="-","",IF(ISERROR(INDEX('Inventaire M'!$A$2:$AD$9319,MATCH(R193,'Inventaire M'!$A:$A,0)-1,MATCH("Cours EUR",'Inventaire M'!#REF!,0))),"Sell",INDEX('Inventaire M'!$A$2:$AD$9319,MATCH(R193,'Inventaire M'!$A:$A,0)-1,MATCH("Cours EUR",'Inventaire M'!#REF!,0))))</f>
        <v>#REF!</v>
      </c>
      <c r="W193" s="175"/>
      <c r="X193" s="156" t="e">
        <f>IF(R193="-","",INDEX('Inventaire M-1'!$A$2:$AG$9334,MATCH(R193,'Inventaire M-1'!$A:$A,0)-1,MATCH("quantite",'Inventaire M-1'!#REF!,0)))</f>
        <v>#REF!</v>
      </c>
      <c r="Y193" s="156" t="e">
        <f>IF(S193="-","",IF(ISERROR(INDEX('Inventaire M'!$A$2:$AD$9319,MATCH(R193,'Inventaire M'!$A:$A,0)-1,MATCH("quantite",'Inventaire M'!#REF!,0))),"Sell",INDEX('Inventaire M'!$A$2:$AD$9319,MATCH(R193,'Inventaire M'!$A:$A,0)-1,MATCH("quantite",'Inventaire M'!#REF!,0))))</f>
        <v>#REF!</v>
      </c>
      <c r="Z193" s="175"/>
      <c r="AA193" s="155" t="e">
        <f>IF(R193="-","",INDEX('Inventaire M-1'!$A$2:$AG$9334,MATCH(R193,'Inventaire M-1'!$A:$A,0)-1,MATCH("poids",'Inventaire M-1'!#REF!,0)))</f>
        <v>#REF!</v>
      </c>
      <c r="AB193" s="155" t="e">
        <f>IF(R193="-","",IF(ISERROR(INDEX('Inventaire M'!$A$2:$AD$9319,MATCH(R193,'Inventaire M'!$A:$A,0)-1,MATCH("poids",'Inventaire M'!#REF!,0))),"Sell",INDEX('Inventaire M'!$A$2:$AD$9319,MATCH(R193,'Inventaire M'!$A:$A,0)-1,MATCH("poids",'Inventaire M'!#REF!,0))))</f>
        <v>#REF!</v>
      </c>
      <c r="AC193" s="175"/>
      <c r="AD193" s="157" t="str">
        <f t="shared" si="15"/>
        <v>0</v>
      </c>
      <c r="AE193" s="98" t="str">
        <f t="shared" si="16"/>
        <v/>
      </c>
      <c r="AF193" s="80" t="e">
        <f t="shared" si="17"/>
        <v>#REF!</v>
      </c>
    </row>
    <row r="194" spans="2:32" outlineLevel="1">
      <c r="B194" s="175" t="e">
        <f>IF(OR('Inventaire M'!#REF!="Dispo/Liquidité Investie",'Inventaire M'!#REF!="Option/Future",'Inventaire M'!#REF!="TCN",'Inventaire M'!#REF!=""),"-",'Inventaire M'!#REF!)</f>
        <v>#REF!</v>
      </c>
      <c r="C194" s="175" t="e">
        <f>IF(OR('Inventaire M'!#REF!="Dispo/Liquidité Investie",'Inventaire M'!#REF!="Option/Future",'Inventaire M'!#REF!="TCN",'Inventaire M'!#REF!=""),"-",'Inventaire M'!#REF!)</f>
        <v>#REF!</v>
      </c>
      <c r="D194" s="175"/>
      <c r="E194" s="175" t="e">
        <f>IF(B194="-","",INDEX('Inventaire M'!$A$2:$AW$9305,MATCH(B194,'Inventaire M'!$A:$A,0)-1,MATCH("Cours EUR",'Inventaire M'!#REF!,0)))</f>
        <v>#REF!</v>
      </c>
      <c r="F194" s="175" t="e">
        <f>IF(B194="-","",IF(ISERROR(INDEX('Inventaire M-1'!$A$2:$AZ$9320,MATCH(B194,'Inventaire M-1'!$A:$A,0)-1,MATCH("Cours EUR",'Inventaire M-1'!#REF!,0))),"Buy",INDEX('Inventaire M-1'!$A$2:$AZ$9320,MATCH(B194,'Inventaire M-1'!$A:$A,0)-1,MATCH("Cours EUR",'Inventaire M-1'!#REF!,0))))</f>
        <v>#REF!</v>
      </c>
      <c r="G194" s="175"/>
      <c r="H194" s="156" t="e">
        <f>IF(B194="-","",INDEX('Inventaire M'!$A$2:$AW$9305,MATCH(B194,'Inventaire M'!$A:$A,0)-1,MATCH("quantite",'Inventaire M'!#REF!,0)))</f>
        <v>#REF!</v>
      </c>
      <c r="I194" s="156" t="e">
        <f>IF(C194="-","",IF(ISERROR(INDEX('Inventaire M-1'!$A$2:$AZ$9320,MATCH(B194,'Inventaire M-1'!$A:$A,0)-1,MATCH("quantite",'Inventaire M-1'!#REF!,0))),"Buy",INDEX('Inventaire M-1'!$A$2:$AZ$9320,MATCH(B194,'Inventaire M-1'!$A:$A,0)-1,MATCH("quantite",'Inventaire M-1'!#REF!,0))))</f>
        <v>#REF!</v>
      </c>
      <c r="J194" s="175"/>
      <c r="K194" s="155" t="e">
        <f>IF(B194="-","",INDEX('Inventaire M'!$A$2:$AW$9305,MATCH(B194,'Inventaire M'!$A:$A,0)-1,MATCH("poids",'Inventaire M'!#REF!,0)))</f>
        <v>#REF!</v>
      </c>
      <c r="L194" s="155" t="e">
        <f>IF(B194="-","",IF(ISERROR(INDEX('Inventaire M-1'!$A$2:$AZ$9320,MATCH(B194,'Inventaire M-1'!$A:$A,0)-1,MATCH("poids",'Inventaire M-1'!#REF!,0))),"Buy",INDEX('Inventaire M-1'!$A$2:$AZ$9320,MATCH(B194,'Inventaire M-1'!$A:$A,0)-1,MATCH("poids",'Inventaire M-1'!#REF!,0))))</f>
        <v>#REF!</v>
      </c>
      <c r="M194" s="175"/>
      <c r="N194" s="157" t="str">
        <f t="shared" si="12"/>
        <v>0</v>
      </c>
      <c r="O194" s="98" t="str">
        <f t="shared" si="13"/>
        <v/>
      </c>
      <c r="P194" s="80" t="e">
        <f t="shared" si="14"/>
        <v>#REF!</v>
      </c>
      <c r="Q194" s="75">
        <v>1.7E-8</v>
      </c>
      <c r="R194" s="175" t="e">
        <f>IF(OR('Inventaire M-1'!#REF!="Dispo/Liquidité Investie",'Inventaire M-1'!#REF!="Option/Future",'Inventaire M-1'!#REF!="TCN",'Inventaire M-1'!#REF!=""),"-",'Inventaire M-1'!#REF!)</f>
        <v>#REF!</v>
      </c>
      <c r="S194" s="175" t="e">
        <f>IF(OR('Inventaire M-1'!#REF!="Dispo/Liquidité Investie",'Inventaire M-1'!#REF!="Option/Future",'Inventaire M-1'!#REF!="TCN",'Inventaire M-1'!#REF!=""),"-",'Inventaire M-1'!#REF!)</f>
        <v>#REF!</v>
      </c>
      <c r="T194" s="175"/>
      <c r="U194" s="175" t="e">
        <f>IF(R194="-","",INDEX('Inventaire M-1'!$A$2:$AG$9334,MATCH(R194,'Inventaire M-1'!$A:$A,0)-1,MATCH("Cours EUR",'Inventaire M-1'!#REF!,0)))</f>
        <v>#REF!</v>
      </c>
      <c r="V194" s="175" t="e">
        <f>IF(R194="-","",IF(ISERROR(INDEX('Inventaire M'!$A$2:$AD$9319,MATCH(R194,'Inventaire M'!$A:$A,0)-1,MATCH("Cours EUR",'Inventaire M'!#REF!,0))),"Sell",INDEX('Inventaire M'!$A$2:$AD$9319,MATCH(R194,'Inventaire M'!$A:$A,0)-1,MATCH("Cours EUR",'Inventaire M'!#REF!,0))))</f>
        <v>#REF!</v>
      </c>
      <c r="W194" s="175"/>
      <c r="X194" s="156" t="e">
        <f>IF(R194="-","",INDEX('Inventaire M-1'!$A$2:$AG$9334,MATCH(R194,'Inventaire M-1'!$A:$A,0)-1,MATCH("quantite",'Inventaire M-1'!#REF!,0)))</f>
        <v>#REF!</v>
      </c>
      <c r="Y194" s="156" t="e">
        <f>IF(S194="-","",IF(ISERROR(INDEX('Inventaire M'!$A$2:$AD$9319,MATCH(R194,'Inventaire M'!$A:$A,0)-1,MATCH("quantite",'Inventaire M'!#REF!,0))),"Sell",INDEX('Inventaire M'!$A$2:$AD$9319,MATCH(R194,'Inventaire M'!$A:$A,0)-1,MATCH("quantite",'Inventaire M'!#REF!,0))))</f>
        <v>#REF!</v>
      </c>
      <c r="Z194" s="175"/>
      <c r="AA194" s="155" t="e">
        <f>IF(R194="-","",INDEX('Inventaire M-1'!$A$2:$AG$9334,MATCH(R194,'Inventaire M-1'!$A:$A,0)-1,MATCH("poids",'Inventaire M-1'!#REF!,0)))</f>
        <v>#REF!</v>
      </c>
      <c r="AB194" s="155" t="e">
        <f>IF(R194="-","",IF(ISERROR(INDEX('Inventaire M'!$A$2:$AD$9319,MATCH(R194,'Inventaire M'!$A:$A,0)-1,MATCH("poids",'Inventaire M'!#REF!,0))),"Sell",INDEX('Inventaire M'!$A$2:$AD$9319,MATCH(R194,'Inventaire M'!$A:$A,0)-1,MATCH("poids",'Inventaire M'!#REF!,0))))</f>
        <v>#REF!</v>
      </c>
      <c r="AC194" s="175"/>
      <c r="AD194" s="157" t="str">
        <f t="shared" si="15"/>
        <v>0</v>
      </c>
      <c r="AE194" s="98" t="str">
        <f t="shared" si="16"/>
        <v/>
      </c>
      <c r="AF194" s="80" t="e">
        <f t="shared" si="17"/>
        <v>#REF!</v>
      </c>
    </row>
    <row r="195" spans="2:32" outlineLevel="1">
      <c r="B195" s="175" t="e">
        <f>IF(OR('Inventaire M'!#REF!="Dispo/Liquidité Investie",'Inventaire M'!#REF!="Option/Future",'Inventaire M'!#REF!="TCN",'Inventaire M'!#REF!=""),"-",'Inventaire M'!#REF!)</f>
        <v>#REF!</v>
      </c>
      <c r="C195" s="175" t="e">
        <f>IF(OR('Inventaire M'!#REF!="Dispo/Liquidité Investie",'Inventaire M'!#REF!="Option/Future",'Inventaire M'!#REF!="TCN",'Inventaire M'!#REF!=""),"-",'Inventaire M'!#REF!)</f>
        <v>#REF!</v>
      </c>
      <c r="D195" s="175"/>
      <c r="E195" s="175" t="e">
        <f>IF(B195="-","",INDEX('Inventaire M'!$A$2:$AW$9305,MATCH(B195,'Inventaire M'!$A:$A,0)-1,MATCH("Cours EUR",'Inventaire M'!#REF!,0)))</f>
        <v>#REF!</v>
      </c>
      <c r="F195" s="175" t="e">
        <f>IF(B195="-","",IF(ISERROR(INDEX('Inventaire M-1'!$A$2:$AZ$9320,MATCH(B195,'Inventaire M-1'!$A:$A,0)-1,MATCH("Cours EUR",'Inventaire M-1'!#REF!,0))),"Buy",INDEX('Inventaire M-1'!$A$2:$AZ$9320,MATCH(B195,'Inventaire M-1'!$A:$A,0)-1,MATCH("Cours EUR",'Inventaire M-1'!#REF!,0))))</f>
        <v>#REF!</v>
      </c>
      <c r="G195" s="175"/>
      <c r="H195" s="156" t="e">
        <f>IF(B195="-","",INDEX('Inventaire M'!$A$2:$AW$9305,MATCH(B195,'Inventaire M'!$A:$A,0)-1,MATCH("quantite",'Inventaire M'!#REF!,0)))</f>
        <v>#REF!</v>
      </c>
      <c r="I195" s="156" t="e">
        <f>IF(C195="-","",IF(ISERROR(INDEX('Inventaire M-1'!$A$2:$AZ$9320,MATCH(B195,'Inventaire M-1'!$A:$A,0)-1,MATCH("quantite",'Inventaire M-1'!#REF!,0))),"Buy",INDEX('Inventaire M-1'!$A$2:$AZ$9320,MATCH(B195,'Inventaire M-1'!$A:$A,0)-1,MATCH("quantite",'Inventaire M-1'!#REF!,0))))</f>
        <v>#REF!</v>
      </c>
      <c r="J195" s="175"/>
      <c r="K195" s="155" t="e">
        <f>IF(B195="-","",INDEX('Inventaire M'!$A$2:$AW$9305,MATCH(B195,'Inventaire M'!$A:$A,0)-1,MATCH("poids",'Inventaire M'!#REF!,0)))</f>
        <v>#REF!</v>
      </c>
      <c r="L195" s="155" t="e">
        <f>IF(B195="-","",IF(ISERROR(INDEX('Inventaire M-1'!$A$2:$AZ$9320,MATCH(B195,'Inventaire M-1'!$A:$A,0)-1,MATCH("poids",'Inventaire M-1'!#REF!,0))),"Buy",INDEX('Inventaire M-1'!$A$2:$AZ$9320,MATCH(B195,'Inventaire M-1'!$A:$A,0)-1,MATCH("poids",'Inventaire M-1'!#REF!,0))))</f>
        <v>#REF!</v>
      </c>
      <c r="M195" s="175"/>
      <c r="N195" s="157" t="str">
        <f t="shared" si="12"/>
        <v>0</v>
      </c>
      <c r="O195" s="98" t="str">
        <f t="shared" si="13"/>
        <v/>
      </c>
      <c r="P195" s="80" t="e">
        <f t="shared" si="14"/>
        <v>#REF!</v>
      </c>
      <c r="Q195" s="75">
        <v>1.7100000000000001E-8</v>
      </c>
      <c r="R195" s="175" t="e">
        <f>IF(OR('Inventaire M-1'!#REF!="Dispo/Liquidité Investie",'Inventaire M-1'!#REF!="Option/Future",'Inventaire M-1'!#REF!="TCN",'Inventaire M-1'!#REF!=""),"-",'Inventaire M-1'!#REF!)</f>
        <v>#REF!</v>
      </c>
      <c r="S195" s="175" t="e">
        <f>IF(OR('Inventaire M-1'!#REF!="Dispo/Liquidité Investie",'Inventaire M-1'!#REF!="Option/Future",'Inventaire M-1'!#REF!="TCN",'Inventaire M-1'!#REF!=""),"-",'Inventaire M-1'!#REF!)</f>
        <v>#REF!</v>
      </c>
      <c r="T195" s="175"/>
      <c r="U195" s="175" t="e">
        <f>IF(R195="-","",INDEX('Inventaire M-1'!$A$2:$AG$9334,MATCH(R195,'Inventaire M-1'!$A:$A,0)-1,MATCH("Cours EUR",'Inventaire M-1'!#REF!,0)))</f>
        <v>#REF!</v>
      </c>
      <c r="V195" s="175" t="e">
        <f>IF(R195="-","",IF(ISERROR(INDEX('Inventaire M'!$A$2:$AD$9319,MATCH(R195,'Inventaire M'!$A:$A,0)-1,MATCH("Cours EUR",'Inventaire M'!#REF!,0))),"Sell",INDEX('Inventaire M'!$A$2:$AD$9319,MATCH(R195,'Inventaire M'!$A:$A,0)-1,MATCH("Cours EUR",'Inventaire M'!#REF!,0))))</f>
        <v>#REF!</v>
      </c>
      <c r="W195" s="175"/>
      <c r="X195" s="156" t="e">
        <f>IF(R195="-","",INDEX('Inventaire M-1'!$A$2:$AG$9334,MATCH(R195,'Inventaire M-1'!$A:$A,0)-1,MATCH("quantite",'Inventaire M-1'!#REF!,0)))</f>
        <v>#REF!</v>
      </c>
      <c r="Y195" s="156" t="e">
        <f>IF(S195="-","",IF(ISERROR(INDEX('Inventaire M'!$A$2:$AD$9319,MATCH(R195,'Inventaire M'!$A:$A,0)-1,MATCH("quantite",'Inventaire M'!#REF!,0))),"Sell",INDEX('Inventaire M'!$A$2:$AD$9319,MATCH(R195,'Inventaire M'!$A:$A,0)-1,MATCH("quantite",'Inventaire M'!#REF!,0))))</f>
        <v>#REF!</v>
      </c>
      <c r="Z195" s="175"/>
      <c r="AA195" s="155" t="e">
        <f>IF(R195="-","",INDEX('Inventaire M-1'!$A$2:$AG$9334,MATCH(R195,'Inventaire M-1'!$A:$A,0)-1,MATCH("poids",'Inventaire M-1'!#REF!,0)))</f>
        <v>#REF!</v>
      </c>
      <c r="AB195" s="155" t="e">
        <f>IF(R195="-","",IF(ISERROR(INDEX('Inventaire M'!$A$2:$AD$9319,MATCH(R195,'Inventaire M'!$A:$A,0)-1,MATCH("poids",'Inventaire M'!#REF!,0))),"Sell",INDEX('Inventaire M'!$A$2:$AD$9319,MATCH(R195,'Inventaire M'!$A:$A,0)-1,MATCH("poids",'Inventaire M'!#REF!,0))))</f>
        <v>#REF!</v>
      </c>
      <c r="AC195" s="175"/>
      <c r="AD195" s="157" t="str">
        <f t="shared" si="15"/>
        <v>0</v>
      </c>
      <c r="AE195" s="98" t="str">
        <f t="shared" si="16"/>
        <v/>
      </c>
      <c r="AF195" s="80" t="e">
        <f t="shared" si="17"/>
        <v>#REF!</v>
      </c>
    </row>
    <row r="196" spans="2:32" outlineLevel="1">
      <c r="B196" s="175" t="e">
        <f>IF(OR('Inventaire M'!#REF!="Dispo/Liquidité Investie",'Inventaire M'!#REF!="Option/Future",'Inventaire M'!#REF!="TCN",'Inventaire M'!#REF!=""),"-",'Inventaire M'!#REF!)</f>
        <v>#REF!</v>
      </c>
      <c r="C196" s="175" t="e">
        <f>IF(OR('Inventaire M'!#REF!="Dispo/Liquidité Investie",'Inventaire M'!#REF!="Option/Future",'Inventaire M'!#REF!="TCN",'Inventaire M'!#REF!=""),"-",'Inventaire M'!#REF!)</f>
        <v>#REF!</v>
      </c>
      <c r="D196" s="175"/>
      <c r="E196" s="175" t="e">
        <f>IF(B196="-","",INDEX('Inventaire M'!$A$2:$AW$9305,MATCH(B196,'Inventaire M'!$A:$A,0)-1,MATCH("Cours EUR",'Inventaire M'!#REF!,0)))</f>
        <v>#REF!</v>
      </c>
      <c r="F196" s="175" t="e">
        <f>IF(B196="-","",IF(ISERROR(INDEX('Inventaire M-1'!$A$2:$AZ$9320,MATCH(B196,'Inventaire M-1'!$A:$A,0)-1,MATCH("Cours EUR",'Inventaire M-1'!#REF!,0))),"Buy",INDEX('Inventaire M-1'!$A$2:$AZ$9320,MATCH(B196,'Inventaire M-1'!$A:$A,0)-1,MATCH("Cours EUR",'Inventaire M-1'!#REF!,0))))</f>
        <v>#REF!</v>
      </c>
      <c r="G196" s="175"/>
      <c r="H196" s="156" t="e">
        <f>IF(B196="-","",INDEX('Inventaire M'!$A$2:$AW$9305,MATCH(B196,'Inventaire M'!$A:$A,0)-1,MATCH("quantite",'Inventaire M'!#REF!,0)))</f>
        <v>#REF!</v>
      </c>
      <c r="I196" s="156" t="e">
        <f>IF(C196="-","",IF(ISERROR(INDEX('Inventaire M-1'!$A$2:$AZ$9320,MATCH(B196,'Inventaire M-1'!$A:$A,0)-1,MATCH("quantite",'Inventaire M-1'!#REF!,0))),"Buy",INDEX('Inventaire M-1'!$A$2:$AZ$9320,MATCH(B196,'Inventaire M-1'!$A:$A,0)-1,MATCH("quantite",'Inventaire M-1'!#REF!,0))))</f>
        <v>#REF!</v>
      </c>
      <c r="J196" s="175"/>
      <c r="K196" s="155" t="e">
        <f>IF(B196="-","",INDEX('Inventaire M'!$A$2:$AW$9305,MATCH(B196,'Inventaire M'!$A:$A,0)-1,MATCH("poids",'Inventaire M'!#REF!,0)))</f>
        <v>#REF!</v>
      </c>
      <c r="L196" s="155" t="e">
        <f>IF(B196="-","",IF(ISERROR(INDEX('Inventaire M-1'!$A$2:$AZ$9320,MATCH(B196,'Inventaire M-1'!$A:$A,0)-1,MATCH("poids",'Inventaire M-1'!#REF!,0))),"Buy",INDEX('Inventaire M-1'!$A$2:$AZ$9320,MATCH(B196,'Inventaire M-1'!$A:$A,0)-1,MATCH("poids",'Inventaire M-1'!#REF!,0))))</f>
        <v>#REF!</v>
      </c>
      <c r="M196" s="175"/>
      <c r="N196" s="157" t="str">
        <f t="shared" si="12"/>
        <v>0</v>
      </c>
      <c r="O196" s="98" t="str">
        <f t="shared" si="13"/>
        <v/>
      </c>
      <c r="P196" s="80" t="e">
        <f t="shared" si="14"/>
        <v>#REF!</v>
      </c>
      <c r="Q196" s="75">
        <v>1.7199999999999999E-8</v>
      </c>
      <c r="R196" s="175" t="e">
        <f>IF(OR('Inventaire M-1'!#REF!="Dispo/Liquidité Investie",'Inventaire M-1'!#REF!="Option/Future",'Inventaire M-1'!#REF!="TCN",'Inventaire M-1'!#REF!=""),"-",'Inventaire M-1'!#REF!)</f>
        <v>#REF!</v>
      </c>
      <c r="S196" s="175" t="e">
        <f>IF(OR('Inventaire M-1'!#REF!="Dispo/Liquidité Investie",'Inventaire M-1'!#REF!="Option/Future",'Inventaire M-1'!#REF!="TCN",'Inventaire M-1'!#REF!=""),"-",'Inventaire M-1'!#REF!)</f>
        <v>#REF!</v>
      </c>
      <c r="T196" s="175"/>
      <c r="U196" s="175" t="e">
        <f>IF(R196="-","",INDEX('Inventaire M-1'!$A$2:$AG$9334,MATCH(R196,'Inventaire M-1'!$A:$A,0)-1,MATCH("Cours EUR",'Inventaire M-1'!#REF!,0)))</f>
        <v>#REF!</v>
      </c>
      <c r="V196" s="175" t="e">
        <f>IF(R196="-","",IF(ISERROR(INDEX('Inventaire M'!$A$2:$AD$9319,MATCH(R196,'Inventaire M'!$A:$A,0)-1,MATCH("Cours EUR",'Inventaire M'!#REF!,0))),"Sell",INDEX('Inventaire M'!$A$2:$AD$9319,MATCH(R196,'Inventaire M'!$A:$A,0)-1,MATCH("Cours EUR",'Inventaire M'!#REF!,0))))</f>
        <v>#REF!</v>
      </c>
      <c r="W196" s="175"/>
      <c r="X196" s="156" t="e">
        <f>IF(R196="-","",INDEX('Inventaire M-1'!$A$2:$AG$9334,MATCH(R196,'Inventaire M-1'!$A:$A,0)-1,MATCH("quantite",'Inventaire M-1'!#REF!,0)))</f>
        <v>#REF!</v>
      </c>
      <c r="Y196" s="156" t="e">
        <f>IF(S196="-","",IF(ISERROR(INDEX('Inventaire M'!$A$2:$AD$9319,MATCH(R196,'Inventaire M'!$A:$A,0)-1,MATCH("quantite",'Inventaire M'!#REF!,0))),"Sell",INDEX('Inventaire M'!$A$2:$AD$9319,MATCH(R196,'Inventaire M'!$A:$A,0)-1,MATCH("quantite",'Inventaire M'!#REF!,0))))</f>
        <v>#REF!</v>
      </c>
      <c r="Z196" s="175"/>
      <c r="AA196" s="155" t="e">
        <f>IF(R196="-","",INDEX('Inventaire M-1'!$A$2:$AG$9334,MATCH(R196,'Inventaire M-1'!$A:$A,0)-1,MATCH("poids",'Inventaire M-1'!#REF!,0)))</f>
        <v>#REF!</v>
      </c>
      <c r="AB196" s="155" t="e">
        <f>IF(R196="-","",IF(ISERROR(INDEX('Inventaire M'!$A$2:$AD$9319,MATCH(R196,'Inventaire M'!$A:$A,0)-1,MATCH("poids",'Inventaire M'!#REF!,0))),"Sell",INDEX('Inventaire M'!$A$2:$AD$9319,MATCH(R196,'Inventaire M'!$A:$A,0)-1,MATCH("poids",'Inventaire M'!#REF!,0))))</f>
        <v>#REF!</v>
      </c>
      <c r="AC196" s="175"/>
      <c r="AD196" s="157" t="str">
        <f t="shared" si="15"/>
        <v>0</v>
      </c>
      <c r="AE196" s="98" t="str">
        <f t="shared" si="16"/>
        <v/>
      </c>
      <c r="AF196" s="80" t="e">
        <f t="shared" si="17"/>
        <v>#REF!</v>
      </c>
    </row>
    <row r="197" spans="2:32" outlineLevel="1">
      <c r="B197" s="175" t="e">
        <f>IF(OR('Inventaire M'!#REF!="Dispo/Liquidité Investie",'Inventaire M'!#REF!="Option/Future",'Inventaire M'!#REF!="TCN",'Inventaire M'!#REF!=""),"-",'Inventaire M'!#REF!)</f>
        <v>#REF!</v>
      </c>
      <c r="C197" s="175" t="e">
        <f>IF(OR('Inventaire M'!#REF!="Dispo/Liquidité Investie",'Inventaire M'!#REF!="Option/Future",'Inventaire M'!#REF!="TCN",'Inventaire M'!#REF!=""),"-",'Inventaire M'!#REF!)</f>
        <v>#REF!</v>
      </c>
      <c r="D197" s="175"/>
      <c r="E197" s="175" t="e">
        <f>IF(B197="-","",INDEX('Inventaire M'!$A$2:$AW$9305,MATCH(B197,'Inventaire M'!$A:$A,0)-1,MATCH("Cours EUR",'Inventaire M'!#REF!,0)))</f>
        <v>#REF!</v>
      </c>
      <c r="F197" s="175" t="e">
        <f>IF(B197="-","",IF(ISERROR(INDEX('Inventaire M-1'!$A$2:$AZ$9320,MATCH(B197,'Inventaire M-1'!$A:$A,0)-1,MATCH("Cours EUR",'Inventaire M-1'!#REF!,0))),"Buy",INDEX('Inventaire M-1'!$A$2:$AZ$9320,MATCH(B197,'Inventaire M-1'!$A:$A,0)-1,MATCH("Cours EUR",'Inventaire M-1'!#REF!,0))))</f>
        <v>#REF!</v>
      </c>
      <c r="G197" s="175"/>
      <c r="H197" s="156" t="e">
        <f>IF(B197="-","",INDEX('Inventaire M'!$A$2:$AW$9305,MATCH(B197,'Inventaire M'!$A:$A,0)-1,MATCH("quantite",'Inventaire M'!#REF!,0)))</f>
        <v>#REF!</v>
      </c>
      <c r="I197" s="156" t="e">
        <f>IF(C197="-","",IF(ISERROR(INDEX('Inventaire M-1'!$A$2:$AZ$9320,MATCH(B197,'Inventaire M-1'!$A:$A,0)-1,MATCH("quantite",'Inventaire M-1'!#REF!,0))),"Buy",INDEX('Inventaire M-1'!$A$2:$AZ$9320,MATCH(B197,'Inventaire M-1'!$A:$A,0)-1,MATCH("quantite",'Inventaire M-1'!#REF!,0))))</f>
        <v>#REF!</v>
      </c>
      <c r="J197" s="175"/>
      <c r="K197" s="155" t="e">
        <f>IF(B197="-","",INDEX('Inventaire M'!$A$2:$AW$9305,MATCH(B197,'Inventaire M'!$A:$A,0)-1,MATCH("poids",'Inventaire M'!#REF!,0)))</f>
        <v>#REF!</v>
      </c>
      <c r="L197" s="155" t="e">
        <f>IF(B197="-","",IF(ISERROR(INDEX('Inventaire M-1'!$A$2:$AZ$9320,MATCH(B197,'Inventaire M-1'!$A:$A,0)-1,MATCH("poids",'Inventaire M-1'!#REF!,0))),"Buy",INDEX('Inventaire M-1'!$A$2:$AZ$9320,MATCH(B197,'Inventaire M-1'!$A:$A,0)-1,MATCH("poids",'Inventaire M-1'!#REF!,0))))</f>
        <v>#REF!</v>
      </c>
      <c r="M197" s="175"/>
      <c r="N197" s="157" t="str">
        <f t="shared" si="12"/>
        <v>0</v>
      </c>
      <c r="O197" s="98" t="str">
        <f t="shared" si="13"/>
        <v/>
      </c>
      <c r="P197" s="80" t="e">
        <f t="shared" si="14"/>
        <v>#REF!</v>
      </c>
      <c r="Q197" s="75">
        <v>1.7299999999999999E-8</v>
      </c>
      <c r="R197" s="175" t="e">
        <f>IF(OR('Inventaire M-1'!#REF!="Dispo/Liquidité Investie",'Inventaire M-1'!#REF!="Option/Future",'Inventaire M-1'!#REF!="TCN",'Inventaire M-1'!#REF!=""),"-",'Inventaire M-1'!#REF!)</f>
        <v>#REF!</v>
      </c>
      <c r="S197" s="175" t="e">
        <f>IF(OR('Inventaire M-1'!#REF!="Dispo/Liquidité Investie",'Inventaire M-1'!#REF!="Option/Future",'Inventaire M-1'!#REF!="TCN",'Inventaire M-1'!#REF!=""),"-",'Inventaire M-1'!#REF!)</f>
        <v>#REF!</v>
      </c>
      <c r="T197" s="175"/>
      <c r="U197" s="175" t="e">
        <f>IF(R197="-","",INDEX('Inventaire M-1'!$A$2:$AG$9334,MATCH(R197,'Inventaire M-1'!$A:$A,0)-1,MATCH("Cours EUR",'Inventaire M-1'!#REF!,0)))</f>
        <v>#REF!</v>
      </c>
      <c r="V197" s="175" t="e">
        <f>IF(R197="-","",IF(ISERROR(INDEX('Inventaire M'!$A$2:$AD$9319,MATCH(R197,'Inventaire M'!$A:$A,0)-1,MATCH("Cours EUR",'Inventaire M'!#REF!,0))),"Sell",INDEX('Inventaire M'!$A$2:$AD$9319,MATCH(R197,'Inventaire M'!$A:$A,0)-1,MATCH("Cours EUR",'Inventaire M'!#REF!,0))))</f>
        <v>#REF!</v>
      </c>
      <c r="W197" s="175"/>
      <c r="X197" s="156" t="e">
        <f>IF(R197="-","",INDEX('Inventaire M-1'!$A$2:$AG$9334,MATCH(R197,'Inventaire M-1'!$A:$A,0)-1,MATCH("quantite",'Inventaire M-1'!#REF!,0)))</f>
        <v>#REF!</v>
      </c>
      <c r="Y197" s="156" t="e">
        <f>IF(S197="-","",IF(ISERROR(INDEX('Inventaire M'!$A$2:$AD$9319,MATCH(R197,'Inventaire M'!$A:$A,0)-1,MATCH("quantite",'Inventaire M'!#REF!,0))),"Sell",INDEX('Inventaire M'!$A$2:$AD$9319,MATCH(R197,'Inventaire M'!$A:$A,0)-1,MATCH("quantite",'Inventaire M'!#REF!,0))))</f>
        <v>#REF!</v>
      </c>
      <c r="Z197" s="175"/>
      <c r="AA197" s="155" t="e">
        <f>IF(R197="-","",INDEX('Inventaire M-1'!$A$2:$AG$9334,MATCH(R197,'Inventaire M-1'!$A:$A,0)-1,MATCH("poids",'Inventaire M-1'!#REF!,0)))</f>
        <v>#REF!</v>
      </c>
      <c r="AB197" s="155" t="e">
        <f>IF(R197="-","",IF(ISERROR(INDEX('Inventaire M'!$A$2:$AD$9319,MATCH(R197,'Inventaire M'!$A:$A,0)-1,MATCH("poids",'Inventaire M'!#REF!,0))),"Sell",INDEX('Inventaire M'!$A$2:$AD$9319,MATCH(R197,'Inventaire M'!$A:$A,0)-1,MATCH("poids",'Inventaire M'!#REF!,0))))</f>
        <v>#REF!</v>
      </c>
      <c r="AC197" s="175"/>
      <c r="AD197" s="157" t="str">
        <f t="shared" si="15"/>
        <v>0</v>
      </c>
      <c r="AE197" s="98" t="str">
        <f t="shared" si="16"/>
        <v/>
      </c>
      <c r="AF197" s="80" t="e">
        <f t="shared" si="17"/>
        <v>#REF!</v>
      </c>
    </row>
    <row r="198" spans="2:32" outlineLevel="1">
      <c r="B198" s="175" t="e">
        <f>IF(OR('Inventaire M'!#REF!="Dispo/Liquidité Investie",'Inventaire M'!#REF!="Option/Future",'Inventaire M'!#REF!="TCN",'Inventaire M'!#REF!=""),"-",'Inventaire M'!#REF!)</f>
        <v>#REF!</v>
      </c>
      <c r="C198" s="175" t="e">
        <f>IF(OR('Inventaire M'!#REF!="Dispo/Liquidité Investie",'Inventaire M'!#REF!="Option/Future",'Inventaire M'!#REF!="TCN",'Inventaire M'!#REF!=""),"-",'Inventaire M'!#REF!)</f>
        <v>#REF!</v>
      </c>
      <c r="D198" s="175"/>
      <c r="E198" s="175" t="e">
        <f>IF(B198="-","",INDEX('Inventaire M'!$A$2:$AW$9305,MATCH(B198,'Inventaire M'!$A:$A,0)-1,MATCH("Cours EUR",'Inventaire M'!#REF!,0)))</f>
        <v>#REF!</v>
      </c>
      <c r="F198" s="175" t="e">
        <f>IF(B198="-","",IF(ISERROR(INDEX('Inventaire M-1'!$A$2:$AZ$9320,MATCH(B198,'Inventaire M-1'!$A:$A,0)-1,MATCH("Cours EUR",'Inventaire M-1'!#REF!,0))),"Buy",INDEX('Inventaire M-1'!$A$2:$AZ$9320,MATCH(B198,'Inventaire M-1'!$A:$A,0)-1,MATCH("Cours EUR",'Inventaire M-1'!#REF!,0))))</f>
        <v>#REF!</v>
      </c>
      <c r="G198" s="175"/>
      <c r="H198" s="156" t="e">
        <f>IF(B198="-","",INDEX('Inventaire M'!$A$2:$AW$9305,MATCH(B198,'Inventaire M'!$A:$A,0)-1,MATCH("quantite",'Inventaire M'!#REF!,0)))</f>
        <v>#REF!</v>
      </c>
      <c r="I198" s="156" t="e">
        <f>IF(C198="-","",IF(ISERROR(INDEX('Inventaire M-1'!$A$2:$AZ$9320,MATCH(B198,'Inventaire M-1'!$A:$A,0)-1,MATCH("quantite",'Inventaire M-1'!#REF!,0))),"Buy",INDEX('Inventaire M-1'!$A$2:$AZ$9320,MATCH(B198,'Inventaire M-1'!$A:$A,0)-1,MATCH("quantite",'Inventaire M-1'!#REF!,0))))</f>
        <v>#REF!</v>
      </c>
      <c r="J198" s="175"/>
      <c r="K198" s="155" t="e">
        <f>IF(B198="-","",INDEX('Inventaire M'!$A$2:$AW$9305,MATCH(B198,'Inventaire M'!$A:$A,0)-1,MATCH("poids",'Inventaire M'!#REF!,0)))</f>
        <v>#REF!</v>
      </c>
      <c r="L198" s="155" t="e">
        <f>IF(B198="-","",IF(ISERROR(INDEX('Inventaire M-1'!$A$2:$AZ$9320,MATCH(B198,'Inventaire M-1'!$A:$A,0)-1,MATCH("poids",'Inventaire M-1'!#REF!,0))),"Buy",INDEX('Inventaire M-1'!$A$2:$AZ$9320,MATCH(B198,'Inventaire M-1'!$A:$A,0)-1,MATCH("poids",'Inventaire M-1'!#REF!,0))))</f>
        <v>#REF!</v>
      </c>
      <c r="M198" s="175"/>
      <c r="N198" s="157" t="str">
        <f t="shared" si="12"/>
        <v>0</v>
      </c>
      <c r="O198" s="98" t="str">
        <f t="shared" si="13"/>
        <v/>
      </c>
      <c r="P198" s="80" t="e">
        <f t="shared" si="14"/>
        <v>#REF!</v>
      </c>
      <c r="Q198" s="75">
        <v>1.74E-8</v>
      </c>
      <c r="R198" s="175" t="e">
        <f>IF(OR('Inventaire M-1'!#REF!="Dispo/Liquidité Investie",'Inventaire M-1'!#REF!="Option/Future",'Inventaire M-1'!#REF!="TCN",'Inventaire M-1'!#REF!=""),"-",'Inventaire M-1'!#REF!)</f>
        <v>#REF!</v>
      </c>
      <c r="S198" s="175" t="e">
        <f>IF(OR('Inventaire M-1'!#REF!="Dispo/Liquidité Investie",'Inventaire M-1'!#REF!="Option/Future",'Inventaire M-1'!#REF!="TCN",'Inventaire M-1'!#REF!=""),"-",'Inventaire M-1'!#REF!)</f>
        <v>#REF!</v>
      </c>
      <c r="T198" s="175"/>
      <c r="U198" s="175" t="e">
        <f>IF(R198="-","",INDEX('Inventaire M-1'!$A$2:$AG$9334,MATCH(R198,'Inventaire M-1'!$A:$A,0)-1,MATCH("Cours EUR",'Inventaire M-1'!#REF!,0)))</f>
        <v>#REF!</v>
      </c>
      <c r="V198" s="175" t="e">
        <f>IF(R198="-","",IF(ISERROR(INDEX('Inventaire M'!$A$2:$AD$9319,MATCH(R198,'Inventaire M'!$A:$A,0)-1,MATCH("Cours EUR",'Inventaire M'!#REF!,0))),"Sell",INDEX('Inventaire M'!$A$2:$AD$9319,MATCH(R198,'Inventaire M'!$A:$A,0)-1,MATCH("Cours EUR",'Inventaire M'!#REF!,0))))</f>
        <v>#REF!</v>
      </c>
      <c r="W198" s="175"/>
      <c r="X198" s="156" t="e">
        <f>IF(R198="-","",INDEX('Inventaire M-1'!$A$2:$AG$9334,MATCH(R198,'Inventaire M-1'!$A:$A,0)-1,MATCH("quantite",'Inventaire M-1'!#REF!,0)))</f>
        <v>#REF!</v>
      </c>
      <c r="Y198" s="156" t="e">
        <f>IF(S198="-","",IF(ISERROR(INDEX('Inventaire M'!$A$2:$AD$9319,MATCH(R198,'Inventaire M'!$A:$A,0)-1,MATCH("quantite",'Inventaire M'!#REF!,0))),"Sell",INDEX('Inventaire M'!$A$2:$AD$9319,MATCH(R198,'Inventaire M'!$A:$A,0)-1,MATCH("quantite",'Inventaire M'!#REF!,0))))</f>
        <v>#REF!</v>
      </c>
      <c r="Z198" s="175"/>
      <c r="AA198" s="155" t="e">
        <f>IF(R198="-","",INDEX('Inventaire M-1'!$A$2:$AG$9334,MATCH(R198,'Inventaire M-1'!$A:$A,0)-1,MATCH("poids",'Inventaire M-1'!#REF!,0)))</f>
        <v>#REF!</v>
      </c>
      <c r="AB198" s="155" t="e">
        <f>IF(R198="-","",IF(ISERROR(INDEX('Inventaire M'!$A$2:$AD$9319,MATCH(R198,'Inventaire M'!$A:$A,0)-1,MATCH("poids",'Inventaire M'!#REF!,0))),"Sell",INDEX('Inventaire M'!$A$2:$AD$9319,MATCH(R198,'Inventaire M'!$A:$A,0)-1,MATCH("poids",'Inventaire M'!#REF!,0))))</f>
        <v>#REF!</v>
      </c>
      <c r="AC198" s="175"/>
      <c r="AD198" s="157" t="str">
        <f t="shared" ref="AD198:AD217" si="18">IFERROR(IF(Y198="Sell",-X198,Y198-X198),"0")</f>
        <v>0</v>
      </c>
      <c r="AE198" s="98" t="str">
        <f t="shared" ref="AE198:AE217" si="19">IFERROR(IF(AD198&lt;0,IF(AB198="Sell",AA198+10%,AB198-AA198)+Q198,""),"")</f>
        <v/>
      </c>
      <c r="AF198" s="80" t="e">
        <f t="shared" ref="AF198:AF217" si="20">S198</f>
        <v>#REF!</v>
      </c>
    </row>
    <row r="199" spans="2:32" outlineLevel="1">
      <c r="B199" s="175" t="e">
        <f>IF(OR('Inventaire M'!#REF!="Dispo/Liquidité Investie",'Inventaire M'!#REF!="Option/Future",'Inventaire M'!#REF!="TCN",'Inventaire M'!#REF!=""),"-",'Inventaire M'!#REF!)</f>
        <v>#REF!</v>
      </c>
      <c r="C199" s="175" t="e">
        <f>IF(OR('Inventaire M'!#REF!="Dispo/Liquidité Investie",'Inventaire M'!#REF!="Option/Future",'Inventaire M'!#REF!="TCN",'Inventaire M'!#REF!=""),"-",'Inventaire M'!#REF!)</f>
        <v>#REF!</v>
      </c>
      <c r="D199" s="175"/>
      <c r="E199" s="175" t="e">
        <f>IF(B199="-","",INDEX('Inventaire M'!$A$2:$AW$9305,MATCH(B199,'Inventaire M'!$A:$A,0)-1,MATCH("Cours EUR",'Inventaire M'!#REF!,0)))</f>
        <v>#REF!</v>
      </c>
      <c r="F199" s="175" t="e">
        <f>IF(B199="-","",IF(ISERROR(INDEX('Inventaire M-1'!$A$2:$AZ$9320,MATCH(B199,'Inventaire M-1'!$A:$A,0)-1,MATCH("Cours EUR",'Inventaire M-1'!#REF!,0))),"Buy",INDEX('Inventaire M-1'!$A$2:$AZ$9320,MATCH(B199,'Inventaire M-1'!$A:$A,0)-1,MATCH("Cours EUR",'Inventaire M-1'!#REF!,0))))</f>
        <v>#REF!</v>
      </c>
      <c r="G199" s="175"/>
      <c r="H199" s="156" t="e">
        <f>IF(B199="-","",INDEX('Inventaire M'!$A$2:$AW$9305,MATCH(B199,'Inventaire M'!$A:$A,0)-1,MATCH("quantite",'Inventaire M'!#REF!,0)))</f>
        <v>#REF!</v>
      </c>
      <c r="I199" s="156" t="e">
        <f>IF(C199="-","",IF(ISERROR(INDEX('Inventaire M-1'!$A$2:$AZ$9320,MATCH(B199,'Inventaire M-1'!$A:$A,0)-1,MATCH("quantite",'Inventaire M-1'!#REF!,0))),"Buy",INDEX('Inventaire M-1'!$A$2:$AZ$9320,MATCH(B199,'Inventaire M-1'!$A:$A,0)-1,MATCH("quantite",'Inventaire M-1'!#REF!,0))))</f>
        <v>#REF!</v>
      </c>
      <c r="J199" s="175"/>
      <c r="K199" s="155" t="e">
        <f>IF(B199="-","",INDEX('Inventaire M'!$A$2:$AW$9305,MATCH(B199,'Inventaire M'!$A:$A,0)-1,MATCH("poids",'Inventaire M'!#REF!,0)))</f>
        <v>#REF!</v>
      </c>
      <c r="L199" s="155" t="e">
        <f>IF(B199="-","",IF(ISERROR(INDEX('Inventaire M-1'!$A$2:$AZ$9320,MATCH(B199,'Inventaire M-1'!$A:$A,0)-1,MATCH("poids",'Inventaire M-1'!#REF!,0))),"Buy",INDEX('Inventaire M-1'!$A$2:$AZ$9320,MATCH(B199,'Inventaire M-1'!$A:$A,0)-1,MATCH("poids",'Inventaire M-1'!#REF!,0))))</f>
        <v>#REF!</v>
      </c>
      <c r="M199" s="175"/>
      <c r="N199" s="157" t="str">
        <f t="shared" si="12"/>
        <v>0</v>
      </c>
      <c r="O199" s="98" t="str">
        <f t="shared" si="13"/>
        <v/>
      </c>
      <c r="P199" s="80" t="e">
        <f t="shared" si="14"/>
        <v>#REF!</v>
      </c>
      <c r="Q199" s="75">
        <v>1.7500000000000001E-8</v>
      </c>
      <c r="R199" s="175" t="e">
        <f>IF(OR('Inventaire M-1'!#REF!="Dispo/Liquidité Investie",'Inventaire M-1'!#REF!="Option/Future",'Inventaire M-1'!#REF!="TCN",'Inventaire M-1'!#REF!=""),"-",'Inventaire M-1'!#REF!)</f>
        <v>#REF!</v>
      </c>
      <c r="S199" s="175" t="e">
        <f>IF(OR('Inventaire M-1'!#REF!="Dispo/Liquidité Investie",'Inventaire M-1'!#REF!="Option/Future",'Inventaire M-1'!#REF!="TCN",'Inventaire M-1'!#REF!=""),"-",'Inventaire M-1'!#REF!)</f>
        <v>#REF!</v>
      </c>
      <c r="T199" s="175"/>
      <c r="U199" s="175" t="e">
        <f>IF(R199="-","",INDEX('Inventaire M-1'!$A$2:$AG$9334,MATCH(R199,'Inventaire M-1'!$A:$A,0)-1,MATCH("Cours EUR",'Inventaire M-1'!#REF!,0)))</f>
        <v>#REF!</v>
      </c>
      <c r="V199" s="175" t="e">
        <f>IF(R199="-","",IF(ISERROR(INDEX('Inventaire M'!$A$2:$AD$9319,MATCH(R199,'Inventaire M'!$A:$A,0)-1,MATCH("Cours EUR",'Inventaire M'!#REF!,0))),"Sell",INDEX('Inventaire M'!$A$2:$AD$9319,MATCH(R199,'Inventaire M'!$A:$A,0)-1,MATCH("Cours EUR",'Inventaire M'!#REF!,0))))</f>
        <v>#REF!</v>
      </c>
      <c r="W199" s="175"/>
      <c r="X199" s="156" t="e">
        <f>IF(R199="-","",INDEX('Inventaire M-1'!$A$2:$AG$9334,MATCH(R199,'Inventaire M-1'!$A:$A,0)-1,MATCH("quantite",'Inventaire M-1'!#REF!,0)))</f>
        <v>#REF!</v>
      </c>
      <c r="Y199" s="156" t="e">
        <f>IF(S199="-","",IF(ISERROR(INDEX('Inventaire M'!$A$2:$AD$9319,MATCH(R199,'Inventaire M'!$A:$A,0)-1,MATCH("quantite",'Inventaire M'!#REF!,0))),"Sell",INDEX('Inventaire M'!$A$2:$AD$9319,MATCH(R199,'Inventaire M'!$A:$A,0)-1,MATCH("quantite",'Inventaire M'!#REF!,0))))</f>
        <v>#REF!</v>
      </c>
      <c r="Z199" s="175"/>
      <c r="AA199" s="155" t="e">
        <f>IF(R199="-","",INDEX('Inventaire M-1'!$A$2:$AG$9334,MATCH(R199,'Inventaire M-1'!$A:$A,0)-1,MATCH("poids",'Inventaire M-1'!#REF!,0)))</f>
        <v>#REF!</v>
      </c>
      <c r="AB199" s="155" t="e">
        <f>IF(R199="-","",IF(ISERROR(INDEX('Inventaire M'!$A$2:$AD$9319,MATCH(R199,'Inventaire M'!$A:$A,0)-1,MATCH("poids",'Inventaire M'!#REF!,0))),"Sell",INDEX('Inventaire M'!$A$2:$AD$9319,MATCH(R199,'Inventaire M'!$A:$A,0)-1,MATCH("poids",'Inventaire M'!#REF!,0))))</f>
        <v>#REF!</v>
      </c>
      <c r="AC199" s="175"/>
      <c r="AD199" s="157" t="str">
        <f t="shared" si="18"/>
        <v>0</v>
      </c>
      <c r="AE199" s="98" t="str">
        <f t="shared" si="19"/>
        <v/>
      </c>
      <c r="AF199" s="80" t="e">
        <f t="shared" si="20"/>
        <v>#REF!</v>
      </c>
    </row>
    <row r="200" spans="2:32" outlineLevel="1">
      <c r="B200" s="175" t="e">
        <f>IF(OR('Inventaire M'!#REF!="Dispo/Liquidité Investie",'Inventaire M'!#REF!="Option/Future",'Inventaire M'!#REF!="TCN",'Inventaire M'!#REF!=""),"-",'Inventaire M'!#REF!)</f>
        <v>#REF!</v>
      </c>
      <c r="C200" s="175" t="e">
        <f>IF(OR('Inventaire M'!#REF!="Dispo/Liquidité Investie",'Inventaire M'!#REF!="Option/Future",'Inventaire M'!#REF!="TCN",'Inventaire M'!#REF!=""),"-",'Inventaire M'!#REF!)</f>
        <v>#REF!</v>
      </c>
      <c r="D200" s="175"/>
      <c r="E200" s="175" t="e">
        <f>IF(B200="-","",INDEX('Inventaire M'!$A$2:$AW$9305,MATCH(B200,'Inventaire M'!$A:$A,0)-1,MATCH("Cours EUR",'Inventaire M'!#REF!,0)))</f>
        <v>#REF!</v>
      </c>
      <c r="F200" s="175" t="e">
        <f>IF(B200="-","",IF(ISERROR(INDEX('Inventaire M-1'!$A$2:$AZ$9320,MATCH(B200,'Inventaire M-1'!$A:$A,0)-1,MATCH("Cours EUR",'Inventaire M-1'!#REF!,0))),"Buy",INDEX('Inventaire M-1'!$A$2:$AZ$9320,MATCH(B200,'Inventaire M-1'!$A:$A,0)-1,MATCH("Cours EUR",'Inventaire M-1'!#REF!,0))))</f>
        <v>#REF!</v>
      </c>
      <c r="G200" s="175"/>
      <c r="H200" s="156" t="e">
        <f>IF(B200="-","",INDEX('Inventaire M'!$A$2:$AW$9305,MATCH(B200,'Inventaire M'!$A:$A,0)-1,MATCH("quantite",'Inventaire M'!#REF!,0)))</f>
        <v>#REF!</v>
      </c>
      <c r="I200" s="156" t="e">
        <f>IF(C200="-","",IF(ISERROR(INDEX('Inventaire M-1'!$A$2:$AZ$9320,MATCH(B200,'Inventaire M-1'!$A:$A,0)-1,MATCH("quantite",'Inventaire M-1'!#REF!,0))),"Buy",INDEX('Inventaire M-1'!$A$2:$AZ$9320,MATCH(B200,'Inventaire M-1'!$A:$A,0)-1,MATCH("quantite",'Inventaire M-1'!#REF!,0))))</f>
        <v>#REF!</v>
      </c>
      <c r="J200" s="175"/>
      <c r="K200" s="155" t="e">
        <f>IF(B200="-","",INDEX('Inventaire M'!$A$2:$AW$9305,MATCH(B200,'Inventaire M'!$A:$A,0)-1,MATCH("poids",'Inventaire M'!#REF!,0)))</f>
        <v>#REF!</v>
      </c>
      <c r="L200" s="155" t="e">
        <f>IF(B200="-","",IF(ISERROR(INDEX('Inventaire M-1'!$A$2:$AZ$9320,MATCH(B200,'Inventaire M-1'!$A:$A,0)-1,MATCH("poids",'Inventaire M-1'!#REF!,0))),"Buy",INDEX('Inventaire M-1'!$A$2:$AZ$9320,MATCH(B200,'Inventaire M-1'!$A:$A,0)-1,MATCH("poids",'Inventaire M-1'!#REF!,0))))</f>
        <v>#REF!</v>
      </c>
      <c r="M200" s="175"/>
      <c r="N200" s="157" t="str">
        <f t="shared" ref="N200:N217" si="21">IFERROR(IF(I200="Buy",H200,H200-I200),"0")</f>
        <v>0</v>
      </c>
      <c r="O200" s="98" t="str">
        <f t="shared" ref="O200:O217" si="22">IFERROR(IF(N200&gt;0,IF(L200="Buy",K200,K200-L200)+Q200,""),"")</f>
        <v/>
      </c>
      <c r="P200" s="80" t="e">
        <f t="shared" ref="P200:P217" si="23">C200</f>
        <v>#REF!</v>
      </c>
      <c r="Q200" s="75">
        <v>1.7599999999999999E-8</v>
      </c>
      <c r="R200" s="175" t="e">
        <f>IF(OR('Inventaire M-1'!#REF!="Dispo/Liquidité Investie",'Inventaire M-1'!#REF!="Option/Future",'Inventaire M-1'!#REF!="TCN",'Inventaire M-1'!#REF!=""),"-",'Inventaire M-1'!#REF!)</f>
        <v>#REF!</v>
      </c>
      <c r="S200" s="175" t="e">
        <f>IF(OR('Inventaire M-1'!#REF!="Dispo/Liquidité Investie",'Inventaire M-1'!#REF!="Option/Future",'Inventaire M-1'!#REF!="TCN",'Inventaire M-1'!#REF!=""),"-",'Inventaire M-1'!#REF!)</f>
        <v>#REF!</v>
      </c>
      <c r="T200" s="175"/>
      <c r="U200" s="175" t="e">
        <f>IF(R200="-","",INDEX('Inventaire M-1'!$A$2:$AG$9334,MATCH(R200,'Inventaire M-1'!$A:$A,0)-1,MATCH("Cours EUR",'Inventaire M-1'!#REF!,0)))</f>
        <v>#REF!</v>
      </c>
      <c r="V200" s="175" t="e">
        <f>IF(R200="-","",IF(ISERROR(INDEX('Inventaire M'!$A$2:$AD$9319,MATCH(R200,'Inventaire M'!$A:$A,0)-1,MATCH("Cours EUR",'Inventaire M'!#REF!,0))),"Sell",INDEX('Inventaire M'!$A$2:$AD$9319,MATCH(R200,'Inventaire M'!$A:$A,0)-1,MATCH("Cours EUR",'Inventaire M'!#REF!,0))))</f>
        <v>#REF!</v>
      </c>
      <c r="W200" s="175"/>
      <c r="X200" s="156" t="e">
        <f>IF(R200="-","",INDEX('Inventaire M-1'!$A$2:$AG$9334,MATCH(R200,'Inventaire M-1'!$A:$A,0)-1,MATCH("quantite",'Inventaire M-1'!#REF!,0)))</f>
        <v>#REF!</v>
      </c>
      <c r="Y200" s="156" t="e">
        <f>IF(S200="-","",IF(ISERROR(INDEX('Inventaire M'!$A$2:$AD$9319,MATCH(R200,'Inventaire M'!$A:$A,0)-1,MATCH("quantite",'Inventaire M'!#REF!,0))),"Sell",INDEX('Inventaire M'!$A$2:$AD$9319,MATCH(R200,'Inventaire M'!$A:$A,0)-1,MATCH("quantite",'Inventaire M'!#REF!,0))))</f>
        <v>#REF!</v>
      </c>
      <c r="Z200" s="175"/>
      <c r="AA200" s="155" t="e">
        <f>IF(R200="-","",INDEX('Inventaire M-1'!$A$2:$AG$9334,MATCH(R200,'Inventaire M-1'!$A:$A,0)-1,MATCH("poids",'Inventaire M-1'!#REF!,0)))</f>
        <v>#REF!</v>
      </c>
      <c r="AB200" s="155" t="e">
        <f>IF(R200="-","",IF(ISERROR(INDEX('Inventaire M'!$A$2:$AD$9319,MATCH(R200,'Inventaire M'!$A:$A,0)-1,MATCH("poids",'Inventaire M'!#REF!,0))),"Sell",INDEX('Inventaire M'!$A$2:$AD$9319,MATCH(R200,'Inventaire M'!$A:$A,0)-1,MATCH("poids",'Inventaire M'!#REF!,0))))</f>
        <v>#REF!</v>
      </c>
      <c r="AC200" s="175"/>
      <c r="AD200" s="157" t="str">
        <f t="shared" si="18"/>
        <v>0</v>
      </c>
      <c r="AE200" s="98" t="str">
        <f t="shared" si="19"/>
        <v/>
      </c>
      <c r="AF200" s="80" t="e">
        <f t="shared" si="20"/>
        <v>#REF!</v>
      </c>
    </row>
    <row r="201" spans="2:32" outlineLevel="1">
      <c r="B201" s="175" t="e">
        <f>IF(OR('Inventaire M'!#REF!="Dispo/Liquidité Investie",'Inventaire M'!#REF!="Option/Future",'Inventaire M'!#REF!="TCN",'Inventaire M'!#REF!=""),"-",'Inventaire M'!#REF!)</f>
        <v>#REF!</v>
      </c>
      <c r="C201" s="175" t="e">
        <f>IF(OR('Inventaire M'!#REF!="Dispo/Liquidité Investie",'Inventaire M'!#REF!="Option/Future",'Inventaire M'!#REF!="TCN",'Inventaire M'!#REF!=""),"-",'Inventaire M'!#REF!)</f>
        <v>#REF!</v>
      </c>
      <c r="D201" s="175"/>
      <c r="E201" s="175" t="e">
        <f>IF(B201="-","",INDEX('Inventaire M'!$A$2:$AW$9305,MATCH(B201,'Inventaire M'!$A:$A,0)-1,MATCH("Cours EUR",'Inventaire M'!#REF!,0)))</f>
        <v>#REF!</v>
      </c>
      <c r="F201" s="175" t="e">
        <f>IF(B201="-","",IF(ISERROR(INDEX('Inventaire M-1'!$A$2:$AZ$9320,MATCH(B201,'Inventaire M-1'!$A:$A,0)-1,MATCH("Cours EUR",'Inventaire M-1'!#REF!,0))),"Buy",INDEX('Inventaire M-1'!$A$2:$AZ$9320,MATCH(B201,'Inventaire M-1'!$A:$A,0)-1,MATCH("Cours EUR",'Inventaire M-1'!#REF!,0))))</f>
        <v>#REF!</v>
      </c>
      <c r="G201" s="175"/>
      <c r="H201" s="156" t="e">
        <f>IF(B201="-","",INDEX('Inventaire M'!$A$2:$AW$9305,MATCH(B201,'Inventaire M'!$A:$A,0)-1,MATCH("quantite",'Inventaire M'!#REF!,0)))</f>
        <v>#REF!</v>
      </c>
      <c r="I201" s="156" t="e">
        <f>IF(C201="-","",IF(ISERROR(INDEX('Inventaire M-1'!$A$2:$AZ$9320,MATCH(B201,'Inventaire M-1'!$A:$A,0)-1,MATCH("quantite",'Inventaire M-1'!#REF!,0))),"Buy",INDEX('Inventaire M-1'!$A$2:$AZ$9320,MATCH(B201,'Inventaire M-1'!$A:$A,0)-1,MATCH("quantite",'Inventaire M-1'!#REF!,0))))</f>
        <v>#REF!</v>
      </c>
      <c r="J201" s="175"/>
      <c r="K201" s="155" t="e">
        <f>IF(B201="-","",INDEX('Inventaire M'!$A$2:$AW$9305,MATCH(B201,'Inventaire M'!$A:$A,0)-1,MATCH("poids",'Inventaire M'!#REF!,0)))</f>
        <v>#REF!</v>
      </c>
      <c r="L201" s="155" t="e">
        <f>IF(B201="-","",IF(ISERROR(INDEX('Inventaire M-1'!$A$2:$AZ$9320,MATCH(B201,'Inventaire M-1'!$A:$A,0)-1,MATCH("poids",'Inventaire M-1'!#REF!,0))),"Buy",INDEX('Inventaire M-1'!$A$2:$AZ$9320,MATCH(B201,'Inventaire M-1'!$A:$A,0)-1,MATCH("poids",'Inventaire M-1'!#REF!,0))))</f>
        <v>#REF!</v>
      </c>
      <c r="M201" s="175"/>
      <c r="N201" s="157" t="str">
        <f t="shared" si="21"/>
        <v>0</v>
      </c>
      <c r="O201" s="98" t="str">
        <f t="shared" si="22"/>
        <v/>
      </c>
      <c r="P201" s="80" t="e">
        <f t="shared" si="23"/>
        <v>#REF!</v>
      </c>
      <c r="Q201" s="75">
        <v>1.77E-8</v>
      </c>
      <c r="R201" s="175" t="e">
        <f>IF(OR('Inventaire M-1'!#REF!="Dispo/Liquidité Investie",'Inventaire M-1'!#REF!="Option/Future",'Inventaire M-1'!#REF!="TCN",'Inventaire M-1'!#REF!=""),"-",'Inventaire M-1'!#REF!)</f>
        <v>#REF!</v>
      </c>
      <c r="S201" s="175" t="e">
        <f>IF(OR('Inventaire M-1'!#REF!="Dispo/Liquidité Investie",'Inventaire M-1'!#REF!="Option/Future",'Inventaire M-1'!#REF!="TCN",'Inventaire M-1'!#REF!=""),"-",'Inventaire M-1'!#REF!)</f>
        <v>#REF!</v>
      </c>
      <c r="T201" s="175"/>
      <c r="U201" s="175" t="e">
        <f>IF(R201="-","",INDEX('Inventaire M-1'!$A$2:$AG$9334,MATCH(R201,'Inventaire M-1'!$A:$A,0)-1,MATCH("Cours EUR",'Inventaire M-1'!#REF!,0)))</f>
        <v>#REF!</v>
      </c>
      <c r="V201" s="175" t="e">
        <f>IF(R201="-","",IF(ISERROR(INDEX('Inventaire M'!$A$2:$AD$9319,MATCH(R201,'Inventaire M'!$A:$A,0)-1,MATCH("Cours EUR",'Inventaire M'!#REF!,0))),"Sell",INDEX('Inventaire M'!$A$2:$AD$9319,MATCH(R201,'Inventaire M'!$A:$A,0)-1,MATCH("Cours EUR",'Inventaire M'!#REF!,0))))</f>
        <v>#REF!</v>
      </c>
      <c r="W201" s="175"/>
      <c r="X201" s="156" t="e">
        <f>IF(R201="-","",INDEX('Inventaire M-1'!$A$2:$AG$9334,MATCH(R201,'Inventaire M-1'!$A:$A,0)-1,MATCH("quantite",'Inventaire M-1'!#REF!,0)))</f>
        <v>#REF!</v>
      </c>
      <c r="Y201" s="156" t="e">
        <f>IF(S201="-","",IF(ISERROR(INDEX('Inventaire M'!$A$2:$AD$9319,MATCH(R201,'Inventaire M'!$A:$A,0)-1,MATCH("quantite",'Inventaire M'!#REF!,0))),"Sell",INDEX('Inventaire M'!$A$2:$AD$9319,MATCH(R201,'Inventaire M'!$A:$A,0)-1,MATCH("quantite",'Inventaire M'!#REF!,0))))</f>
        <v>#REF!</v>
      </c>
      <c r="Z201" s="175"/>
      <c r="AA201" s="155" t="e">
        <f>IF(R201="-","",INDEX('Inventaire M-1'!$A$2:$AG$9334,MATCH(R201,'Inventaire M-1'!$A:$A,0)-1,MATCH("poids",'Inventaire M-1'!#REF!,0)))</f>
        <v>#REF!</v>
      </c>
      <c r="AB201" s="155" t="e">
        <f>IF(R201="-","",IF(ISERROR(INDEX('Inventaire M'!$A$2:$AD$9319,MATCH(R201,'Inventaire M'!$A:$A,0)-1,MATCH("poids",'Inventaire M'!#REF!,0))),"Sell",INDEX('Inventaire M'!$A$2:$AD$9319,MATCH(R201,'Inventaire M'!$A:$A,0)-1,MATCH("poids",'Inventaire M'!#REF!,0))))</f>
        <v>#REF!</v>
      </c>
      <c r="AC201" s="175"/>
      <c r="AD201" s="157" t="str">
        <f t="shared" si="18"/>
        <v>0</v>
      </c>
      <c r="AE201" s="98" t="str">
        <f t="shared" si="19"/>
        <v/>
      </c>
      <c r="AF201" s="80" t="e">
        <f t="shared" si="20"/>
        <v>#REF!</v>
      </c>
    </row>
    <row r="202" spans="2:32" outlineLevel="1">
      <c r="B202" s="175" t="e">
        <f>IF(OR('Inventaire M'!#REF!="Dispo/Liquidité Investie",'Inventaire M'!#REF!="Option/Future",'Inventaire M'!#REF!="TCN",'Inventaire M'!#REF!=""),"-",'Inventaire M'!#REF!)</f>
        <v>#REF!</v>
      </c>
      <c r="C202" s="175" t="e">
        <f>IF(OR('Inventaire M'!#REF!="Dispo/Liquidité Investie",'Inventaire M'!#REF!="Option/Future",'Inventaire M'!#REF!="TCN",'Inventaire M'!#REF!=""),"-",'Inventaire M'!#REF!)</f>
        <v>#REF!</v>
      </c>
      <c r="D202" s="175"/>
      <c r="E202" s="175" t="e">
        <f>IF(B202="-","",INDEX('Inventaire M'!$A$2:$AW$9305,MATCH(B202,'Inventaire M'!$A:$A,0)-1,MATCH("Cours EUR",'Inventaire M'!#REF!,0)))</f>
        <v>#REF!</v>
      </c>
      <c r="F202" s="175" t="e">
        <f>IF(B202="-","",IF(ISERROR(INDEX('Inventaire M-1'!$A$2:$AZ$9320,MATCH(B202,'Inventaire M-1'!$A:$A,0)-1,MATCH("Cours EUR",'Inventaire M-1'!#REF!,0))),"Buy",INDEX('Inventaire M-1'!$A$2:$AZ$9320,MATCH(B202,'Inventaire M-1'!$A:$A,0)-1,MATCH("Cours EUR",'Inventaire M-1'!#REF!,0))))</f>
        <v>#REF!</v>
      </c>
      <c r="G202" s="175"/>
      <c r="H202" s="156" t="e">
        <f>IF(B202="-","",INDEX('Inventaire M'!$A$2:$AW$9305,MATCH(B202,'Inventaire M'!$A:$A,0)-1,MATCH("quantite",'Inventaire M'!#REF!,0)))</f>
        <v>#REF!</v>
      </c>
      <c r="I202" s="156" t="e">
        <f>IF(C202="-","",IF(ISERROR(INDEX('Inventaire M-1'!$A$2:$AZ$9320,MATCH(B202,'Inventaire M-1'!$A:$A,0)-1,MATCH("quantite",'Inventaire M-1'!#REF!,0))),"Buy",INDEX('Inventaire M-1'!$A$2:$AZ$9320,MATCH(B202,'Inventaire M-1'!$A:$A,0)-1,MATCH("quantite",'Inventaire M-1'!#REF!,0))))</f>
        <v>#REF!</v>
      </c>
      <c r="J202" s="175"/>
      <c r="K202" s="155" t="e">
        <f>IF(B202="-","",INDEX('Inventaire M'!$A$2:$AW$9305,MATCH(B202,'Inventaire M'!$A:$A,0)-1,MATCH("poids",'Inventaire M'!#REF!,0)))</f>
        <v>#REF!</v>
      </c>
      <c r="L202" s="155" t="e">
        <f>IF(B202="-","",IF(ISERROR(INDEX('Inventaire M-1'!$A$2:$AZ$9320,MATCH(B202,'Inventaire M-1'!$A:$A,0)-1,MATCH("poids",'Inventaire M-1'!#REF!,0))),"Buy",INDEX('Inventaire M-1'!$A$2:$AZ$9320,MATCH(B202,'Inventaire M-1'!$A:$A,0)-1,MATCH("poids",'Inventaire M-1'!#REF!,0))))</f>
        <v>#REF!</v>
      </c>
      <c r="M202" s="175"/>
      <c r="N202" s="157" t="str">
        <f t="shared" si="21"/>
        <v>0</v>
      </c>
      <c r="O202" s="98" t="str">
        <f t="shared" si="22"/>
        <v/>
      </c>
      <c r="P202" s="80" t="e">
        <f t="shared" si="23"/>
        <v>#REF!</v>
      </c>
      <c r="Q202" s="75">
        <v>1.7800000000000001E-8</v>
      </c>
      <c r="R202" s="175" t="e">
        <f>IF(OR('Inventaire M-1'!#REF!="Dispo/Liquidité Investie",'Inventaire M-1'!#REF!="Option/Future",'Inventaire M-1'!#REF!="TCN",'Inventaire M-1'!#REF!=""),"-",'Inventaire M-1'!#REF!)</f>
        <v>#REF!</v>
      </c>
      <c r="S202" s="175" t="e">
        <f>IF(OR('Inventaire M-1'!#REF!="Dispo/Liquidité Investie",'Inventaire M-1'!#REF!="Option/Future",'Inventaire M-1'!#REF!="TCN",'Inventaire M-1'!#REF!=""),"-",'Inventaire M-1'!#REF!)</f>
        <v>#REF!</v>
      </c>
      <c r="T202" s="175"/>
      <c r="U202" s="175" t="e">
        <f>IF(R202="-","",INDEX('Inventaire M-1'!$A$2:$AG$9334,MATCH(R202,'Inventaire M-1'!$A:$A,0)-1,MATCH("Cours EUR",'Inventaire M-1'!#REF!,0)))</f>
        <v>#REF!</v>
      </c>
      <c r="V202" s="175" t="e">
        <f>IF(R202="-","",IF(ISERROR(INDEX('Inventaire M'!$A$2:$AD$9319,MATCH(R202,'Inventaire M'!$A:$A,0)-1,MATCH("Cours EUR",'Inventaire M'!#REF!,0))),"Sell",INDEX('Inventaire M'!$A$2:$AD$9319,MATCH(R202,'Inventaire M'!$A:$A,0)-1,MATCH("Cours EUR",'Inventaire M'!#REF!,0))))</f>
        <v>#REF!</v>
      </c>
      <c r="W202" s="175"/>
      <c r="X202" s="156" t="e">
        <f>IF(R202="-","",INDEX('Inventaire M-1'!$A$2:$AG$9334,MATCH(R202,'Inventaire M-1'!$A:$A,0)-1,MATCH("quantite",'Inventaire M-1'!#REF!,0)))</f>
        <v>#REF!</v>
      </c>
      <c r="Y202" s="156" t="e">
        <f>IF(S202="-","",IF(ISERROR(INDEX('Inventaire M'!$A$2:$AD$9319,MATCH(R202,'Inventaire M'!$A:$A,0)-1,MATCH("quantite",'Inventaire M'!#REF!,0))),"Sell",INDEX('Inventaire M'!$A$2:$AD$9319,MATCH(R202,'Inventaire M'!$A:$A,0)-1,MATCH("quantite",'Inventaire M'!#REF!,0))))</f>
        <v>#REF!</v>
      </c>
      <c r="Z202" s="175"/>
      <c r="AA202" s="155" t="e">
        <f>IF(R202="-","",INDEX('Inventaire M-1'!$A$2:$AG$9334,MATCH(R202,'Inventaire M-1'!$A:$A,0)-1,MATCH("poids",'Inventaire M-1'!#REF!,0)))</f>
        <v>#REF!</v>
      </c>
      <c r="AB202" s="155" t="e">
        <f>IF(R202="-","",IF(ISERROR(INDEX('Inventaire M'!$A$2:$AD$9319,MATCH(R202,'Inventaire M'!$A:$A,0)-1,MATCH("poids",'Inventaire M'!#REF!,0))),"Sell",INDEX('Inventaire M'!$A$2:$AD$9319,MATCH(R202,'Inventaire M'!$A:$A,0)-1,MATCH("poids",'Inventaire M'!#REF!,0))))</f>
        <v>#REF!</v>
      </c>
      <c r="AC202" s="175"/>
      <c r="AD202" s="157" t="str">
        <f t="shared" si="18"/>
        <v>0</v>
      </c>
      <c r="AE202" s="98" t="str">
        <f t="shared" si="19"/>
        <v/>
      </c>
      <c r="AF202" s="80" t="e">
        <f t="shared" si="20"/>
        <v>#REF!</v>
      </c>
    </row>
    <row r="203" spans="2:32" outlineLevel="1">
      <c r="B203" s="175" t="e">
        <f>IF(OR('Inventaire M'!#REF!="Dispo/Liquidité Investie",'Inventaire M'!#REF!="Option/Future",'Inventaire M'!#REF!="TCN",'Inventaire M'!#REF!=""),"-",'Inventaire M'!#REF!)</f>
        <v>#REF!</v>
      </c>
      <c r="C203" s="175" t="e">
        <f>IF(OR('Inventaire M'!#REF!="Dispo/Liquidité Investie",'Inventaire M'!#REF!="Option/Future",'Inventaire M'!#REF!="TCN",'Inventaire M'!#REF!=""),"-",'Inventaire M'!#REF!)</f>
        <v>#REF!</v>
      </c>
      <c r="D203" s="175"/>
      <c r="E203" s="175" t="e">
        <f>IF(B203="-","",INDEX('Inventaire M'!$A$2:$AW$9305,MATCH(B203,'Inventaire M'!$A:$A,0)-1,MATCH("Cours EUR",'Inventaire M'!#REF!,0)))</f>
        <v>#REF!</v>
      </c>
      <c r="F203" s="175" t="e">
        <f>IF(B203="-","",IF(ISERROR(INDEX('Inventaire M-1'!$A$2:$AZ$9320,MATCH(B203,'Inventaire M-1'!$A:$A,0)-1,MATCH("Cours EUR",'Inventaire M-1'!#REF!,0))),"Buy",INDEX('Inventaire M-1'!$A$2:$AZ$9320,MATCH(B203,'Inventaire M-1'!$A:$A,0)-1,MATCH("Cours EUR",'Inventaire M-1'!#REF!,0))))</f>
        <v>#REF!</v>
      </c>
      <c r="G203" s="175"/>
      <c r="H203" s="156" t="e">
        <f>IF(B203="-","",INDEX('Inventaire M'!$A$2:$AW$9305,MATCH(B203,'Inventaire M'!$A:$A,0)-1,MATCH("quantite",'Inventaire M'!#REF!,0)))</f>
        <v>#REF!</v>
      </c>
      <c r="I203" s="156" t="e">
        <f>IF(C203="-","",IF(ISERROR(INDEX('Inventaire M-1'!$A$2:$AZ$9320,MATCH(B203,'Inventaire M-1'!$A:$A,0)-1,MATCH("quantite",'Inventaire M-1'!#REF!,0))),"Buy",INDEX('Inventaire M-1'!$A$2:$AZ$9320,MATCH(B203,'Inventaire M-1'!$A:$A,0)-1,MATCH("quantite",'Inventaire M-1'!#REF!,0))))</f>
        <v>#REF!</v>
      </c>
      <c r="J203" s="175"/>
      <c r="K203" s="155" t="e">
        <f>IF(B203="-","",INDEX('Inventaire M'!$A$2:$AW$9305,MATCH(B203,'Inventaire M'!$A:$A,0)-1,MATCH("poids",'Inventaire M'!#REF!,0)))</f>
        <v>#REF!</v>
      </c>
      <c r="L203" s="155" t="e">
        <f>IF(B203="-","",IF(ISERROR(INDEX('Inventaire M-1'!$A$2:$AZ$9320,MATCH(B203,'Inventaire M-1'!$A:$A,0)-1,MATCH("poids",'Inventaire M-1'!#REF!,0))),"Buy",INDEX('Inventaire M-1'!$A$2:$AZ$9320,MATCH(B203,'Inventaire M-1'!$A:$A,0)-1,MATCH("poids",'Inventaire M-1'!#REF!,0))))</f>
        <v>#REF!</v>
      </c>
      <c r="M203" s="175"/>
      <c r="N203" s="157" t="str">
        <f t="shared" si="21"/>
        <v>0</v>
      </c>
      <c r="O203" s="98" t="str">
        <f t="shared" si="22"/>
        <v/>
      </c>
      <c r="P203" s="80" t="e">
        <f t="shared" si="23"/>
        <v>#REF!</v>
      </c>
      <c r="Q203" s="75">
        <v>1.7900000000000001E-8</v>
      </c>
      <c r="R203" s="175" t="e">
        <f>IF(OR('Inventaire M-1'!#REF!="Dispo/Liquidité Investie",'Inventaire M-1'!#REF!="Option/Future",'Inventaire M-1'!#REF!="TCN",'Inventaire M-1'!#REF!=""),"-",'Inventaire M-1'!#REF!)</f>
        <v>#REF!</v>
      </c>
      <c r="S203" s="175" t="e">
        <f>IF(OR('Inventaire M-1'!#REF!="Dispo/Liquidité Investie",'Inventaire M-1'!#REF!="Option/Future",'Inventaire M-1'!#REF!="TCN",'Inventaire M-1'!#REF!=""),"-",'Inventaire M-1'!#REF!)</f>
        <v>#REF!</v>
      </c>
      <c r="T203" s="175"/>
      <c r="U203" s="175" t="e">
        <f>IF(R203="-","",INDEX('Inventaire M-1'!$A$2:$AG$9334,MATCH(R203,'Inventaire M-1'!$A:$A,0)-1,MATCH("Cours EUR",'Inventaire M-1'!#REF!,0)))</f>
        <v>#REF!</v>
      </c>
      <c r="V203" s="175" t="e">
        <f>IF(R203="-","",IF(ISERROR(INDEX('Inventaire M'!$A$2:$AD$9319,MATCH(R203,'Inventaire M'!$A:$A,0)-1,MATCH("Cours EUR",'Inventaire M'!#REF!,0))),"Sell",INDEX('Inventaire M'!$A$2:$AD$9319,MATCH(R203,'Inventaire M'!$A:$A,0)-1,MATCH("Cours EUR",'Inventaire M'!#REF!,0))))</f>
        <v>#REF!</v>
      </c>
      <c r="W203" s="175"/>
      <c r="X203" s="156" t="e">
        <f>IF(R203="-","",INDEX('Inventaire M-1'!$A$2:$AG$9334,MATCH(R203,'Inventaire M-1'!$A:$A,0)-1,MATCH("quantite",'Inventaire M-1'!#REF!,0)))</f>
        <v>#REF!</v>
      </c>
      <c r="Y203" s="156" t="e">
        <f>IF(S203="-","",IF(ISERROR(INDEX('Inventaire M'!$A$2:$AD$9319,MATCH(R203,'Inventaire M'!$A:$A,0)-1,MATCH("quantite",'Inventaire M'!#REF!,0))),"Sell",INDEX('Inventaire M'!$A$2:$AD$9319,MATCH(R203,'Inventaire M'!$A:$A,0)-1,MATCH("quantite",'Inventaire M'!#REF!,0))))</f>
        <v>#REF!</v>
      </c>
      <c r="Z203" s="175"/>
      <c r="AA203" s="155" t="e">
        <f>IF(R203="-","",INDEX('Inventaire M-1'!$A$2:$AG$9334,MATCH(R203,'Inventaire M-1'!$A:$A,0)-1,MATCH("poids",'Inventaire M-1'!#REF!,0)))</f>
        <v>#REF!</v>
      </c>
      <c r="AB203" s="155" t="e">
        <f>IF(R203="-","",IF(ISERROR(INDEX('Inventaire M'!$A$2:$AD$9319,MATCH(R203,'Inventaire M'!$A:$A,0)-1,MATCH("poids",'Inventaire M'!#REF!,0))),"Sell",INDEX('Inventaire M'!$A$2:$AD$9319,MATCH(R203,'Inventaire M'!$A:$A,0)-1,MATCH("poids",'Inventaire M'!#REF!,0))))</f>
        <v>#REF!</v>
      </c>
      <c r="AC203" s="175"/>
      <c r="AD203" s="157" t="str">
        <f t="shared" si="18"/>
        <v>0</v>
      </c>
      <c r="AE203" s="98" t="str">
        <f t="shared" si="19"/>
        <v/>
      </c>
      <c r="AF203" s="80" t="e">
        <f t="shared" si="20"/>
        <v>#REF!</v>
      </c>
    </row>
    <row r="204" spans="2:32" outlineLevel="1">
      <c r="B204" s="175" t="e">
        <f>IF(OR('Inventaire M'!#REF!="Dispo/Liquidité Investie",'Inventaire M'!#REF!="Option/Future",'Inventaire M'!#REF!="TCN",'Inventaire M'!#REF!=""),"-",'Inventaire M'!#REF!)</f>
        <v>#REF!</v>
      </c>
      <c r="C204" s="175" t="e">
        <f>IF(OR('Inventaire M'!#REF!="Dispo/Liquidité Investie",'Inventaire M'!#REF!="Option/Future",'Inventaire M'!#REF!="TCN",'Inventaire M'!#REF!=""),"-",'Inventaire M'!#REF!)</f>
        <v>#REF!</v>
      </c>
      <c r="D204" s="175"/>
      <c r="E204" s="175" t="e">
        <f>IF(B204="-","",INDEX('Inventaire M'!$A$2:$AW$9305,MATCH(B204,'Inventaire M'!$A:$A,0)-1,MATCH("Cours EUR",'Inventaire M'!#REF!,0)))</f>
        <v>#REF!</v>
      </c>
      <c r="F204" s="175" t="e">
        <f>IF(B204="-","",IF(ISERROR(INDEX('Inventaire M-1'!$A$2:$AZ$9320,MATCH(B204,'Inventaire M-1'!$A:$A,0)-1,MATCH("Cours EUR",'Inventaire M-1'!#REF!,0))),"Buy",INDEX('Inventaire M-1'!$A$2:$AZ$9320,MATCH(B204,'Inventaire M-1'!$A:$A,0)-1,MATCH("Cours EUR",'Inventaire M-1'!#REF!,0))))</f>
        <v>#REF!</v>
      </c>
      <c r="G204" s="175"/>
      <c r="H204" s="156" t="e">
        <f>IF(B204="-","",INDEX('Inventaire M'!$A$2:$AW$9305,MATCH(B204,'Inventaire M'!$A:$A,0)-1,MATCH("quantite",'Inventaire M'!#REF!,0)))</f>
        <v>#REF!</v>
      </c>
      <c r="I204" s="156" t="e">
        <f>IF(C204="-","",IF(ISERROR(INDEX('Inventaire M-1'!$A$2:$AZ$9320,MATCH(B204,'Inventaire M-1'!$A:$A,0)-1,MATCH("quantite",'Inventaire M-1'!#REF!,0))),"Buy",INDEX('Inventaire M-1'!$A$2:$AZ$9320,MATCH(B204,'Inventaire M-1'!$A:$A,0)-1,MATCH("quantite",'Inventaire M-1'!#REF!,0))))</f>
        <v>#REF!</v>
      </c>
      <c r="J204" s="175"/>
      <c r="K204" s="155" t="e">
        <f>IF(B204="-","",INDEX('Inventaire M'!$A$2:$AW$9305,MATCH(B204,'Inventaire M'!$A:$A,0)-1,MATCH("poids",'Inventaire M'!#REF!,0)))</f>
        <v>#REF!</v>
      </c>
      <c r="L204" s="155" t="e">
        <f>IF(B204="-","",IF(ISERROR(INDEX('Inventaire M-1'!$A$2:$AZ$9320,MATCH(B204,'Inventaire M-1'!$A:$A,0)-1,MATCH("poids",'Inventaire M-1'!#REF!,0))),"Buy",INDEX('Inventaire M-1'!$A$2:$AZ$9320,MATCH(B204,'Inventaire M-1'!$A:$A,0)-1,MATCH("poids",'Inventaire M-1'!#REF!,0))))</f>
        <v>#REF!</v>
      </c>
      <c r="M204" s="175"/>
      <c r="N204" s="157" t="str">
        <f t="shared" si="21"/>
        <v>0</v>
      </c>
      <c r="O204" s="98" t="str">
        <f t="shared" si="22"/>
        <v/>
      </c>
      <c r="P204" s="80" t="e">
        <f t="shared" si="23"/>
        <v>#REF!</v>
      </c>
      <c r="Q204" s="75">
        <v>1.7999999999999999E-8</v>
      </c>
      <c r="R204" s="175" t="e">
        <f>IF(OR('Inventaire M-1'!#REF!="Dispo/Liquidité Investie",'Inventaire M-1'!#REF!="Option/Future",'Inventaire M-1'!#REF!="TCN",'Inventaire M-1'!#REF!=""),"-",'Inventaire M-1'!#REF!)</f>
        <v>#REF!</v>
      </c>
      <c r="S204" s="175" t="e">
        <f>IF(OR('Inventaire M-1'!#REF!="Dispo/Liquidité Investie",'Inventaire M-1'!#REF!="Option/Future",'Inventaire M-1'!#REF!="TCN",'Inventaire M-1'!#REF!=""),"-",'Inventaire M-1'!#REF!)</f>
        <v>#REF!</v>
      </c>
      <c r="T204" s="175"/>
      <c r="U204" s="175" t="e">
        <f>IF(R204="-","",INDEX('Inventaire M-1'!$A$2:$AG$9334,MATCH(R204,'Inventaire M-1'!$A:$A,0)-1,MATCH("Cours EUR",'Inventaire M-1'!#REF!,0)))</f>
        <v>#REF!</v>
      </c>
      <c r="V204" s="175" t="e">
        <f>IF(R204="-","",IF(ISERROR(INDEX('Inventaire M'!$A$2:$AD$9319,MATCH(R204,'Inventaire M'!$A:$A,0)-1,MATCH("Cours EUR",'Inventaire M'!#REF!,0))),"Sell",INDEX('Inventaire M'!$A$2:$AD$9319,MATCH(R204,'Inventaire M'!$A:$A,0)-1,MATCH("Cours EUR",'Inventaire M'!#REF!,0))))</f>
        <v>#REF!</v>
      </c>
      <c r="W204" s="175"/>
      <c r="X204" s="156" t="e">
        <f>IF(R204="-","",INDEX('Inventaire M-1'!$A$2:$AG$9334,MATCH(R204,'Inventaire M-1'!$A:$A,0)-1,MATCH("quantite",'Inventaire M-1'!#REF!,0)))</f>
        <v>#REF!</v>
      </c>
      <c r="Y204" s="156" t="e">
        <f>IF(S204="-","",IF(ISERROR(INDEX('Inventaire M'!$A$2:$AD$9319,MATCH(R204,'Inventaire M'!$A:$A,0)-1,MATCH("quantite",'Inventaire M'!#REF!,0))),"Sell",INDEX('Inventaire M'!$A$2:$AD$9319,MATCH(R204,'Inventaire M'!$A:$A,0)-1,MATCH("quantite",'Inventaire M'!#REF!,0))))</f>
        <v>#REF!</v>
      </c>
      <c r="Z204" s="175"/>
      <c r="AA204" s="155" t="e">
        <f>IF(R204="-","",INDEX('Inventaire M-1'!$A$2:$AG$9334,MATCH(R204,'Inventaire M-1'!$A:$A,0)-1,MATCH("poids",'Inventaire M-1'!#REF!,0)))</f>
        <v>#REF!</v>
      </c>
      <c r="AB204" s="155" t="e">
        <f>IF(R204="-","",IF(ISERROR(INDEX('Inventaire M'!$A$2:$AD$9319,MATCH(R204,'Inventaire M'!$A:$A,0)-1,MATCH("poids",'Inventaire M'!#REF!,0))),"Sell",INDEX('Inventaire M'!$A$2:$AD$9319,MATCH(R204,'Inventaire M'!$A:$A,0)-1,MATCH("poids",'Inventaire M'!#REF!,0))))</f>
        <v>#REF!</v>
      </c>
      <c r="AC204" s="175"/>
      <c r="AD204" s="157" t="str">
        <f t="shared" si="18"/>
        <v>0</v>
      </c>
      <c r="AE204" s="98" t="str">
        <f t="shared" si="19"/>
        <v/>
      </c>
      <c r="AF204" s="80" t="e">
        <f t="shared" si="20"/>
        <v>#REF!</v>
      </c>
    </row>
    <row r="205" spans="2:32" outlineLevel="1">
      <c r="B205" s="175" t="e">
        <f>IF(OR('Inventaire M'!#REF!="Dispo/Liquidité Investie",'Inventaire M'!#REF!="Option/Future",'Inventaire M'!#REF!="TCN",'Inventaire M'!#REF!=""),"-",'Inventaire M'!#REF!)</f>
        <v>#REF!</v>
      </c>
      <c r="C205" s="175" t="e">
        <f>IF(OR('Inventaire M'!#REF!="Dispo/Liquidité Investie",'Inventaire M'!#REF!="Option/Future",'Inventaire M'!#REF!="TCN",'Inventaire M'!#REF!=""),"-",'Inventaire M'!#REF!)</f>
        <v>#REF!</v>
      </c>
      <c r="D205" s="175"/>
      <c r="E205" s="175" t="e">
        <f>IF(B205="-","",INDEX('Inventaire M'!$A$2:$AW$9305,MATCH(B205,'Inventaire M'!$A:$A,0)-1,MATCH("Cours EUR",'Inventaire M'!#REF!,0)))</f>
        <v>#REF!</v>
      </c>
      <c r="F205" s="175" t="e">
        <f>IF(B205="-","",IF(ISERROR(INDEX('Inventaire M-1'!$A$2:$AZ$9320,MATCH(B205,'Inventaire M-1'!$A:$A,0)-1,MATCH("Cours EUR",'Inventaire M-1'!#REF!,0))),"Buy",INDEX('Inventaire M-1'!$A$2:$AZ$9320,MATCH(B205,'Inventaire M-1'!$A:$A,0)-1,MATCH("Cours EUR",'Inventaire M-1'!#REF!,0))))</f>
        <v>#REF!</v>
      </c>
      <c r="G205" s="175"/>
      <c r="H205" s="156" t="e">
        <f>IF(B205="-","",INDEX('Inventaire M'!$A$2:$AW$9305,MATCH(B205,'Inventaire M'!$A:$A,0)-1,MATCH("quantite",'Inventaire M'!#REF!,0)))</f>
        <v>#REF!</v>
      </c>
      <c r="I205" s="156" t="e">
        <f>IF(C205="-","",IF(ISERROR(INDEX('Inventaire M-1'!$A$2:$AZ$9320,MATCH(B205,'Inventaire M-1'!$A:$A,0)-1,MATCH("quantite",'Inventaire M-1'!#REF!,0))),"Buy",INDEX('Inventaire M-1'!$A$2:$AZ$9320,MATCH(B205,'Inventaire M-1'!$A:$A,0)-1,MATCH("quantite",'Inventaire M-1'!#REF!,0))))</f>
        <v>#REF!</v>
      </c>
      <c r="J205" s="175"/>
      <c r="K205" s="155" t="e">
        <f>IF(B205="-","",INDEX('Inventaire M'!$A$2:$AW$9305,MATCH(B205,'Inventaire M'!$A:$A,0)-1,MATCH("poids",'Inventaire M'!#REF!,0)))</f>
        <v>#REF!</v>
      </c>
      <c r="L205" s="155" t="e">
        <f>IF(B205="-","",IF(ISERROR(INDEX('Inventaire M-1'!$A$2:$AZ$9320,MATCH(B205,'Inventaire M-1'!$A:$A,0)-1,MATCH("poids",'Inventaire M-1'!#REF!,0))),"Buy",INDEX('Inventaire M-1'!$A$2:$AZ$9320,MATCH(B205,'Inventaire M-1'!$A:$A,0)-1,MATCH("poids",'Inventaire M-1'!#REF!,0))))</f>
        <v>#REF!</v>
      </c>
      <c r="M205" s="175"/>
      <c r="N205" s="157" t="str">
        <f t="shared" si="21"/>
        <v>0</v>
      </c>
      <c r="O205" s="98" t="str">
        <f t="shared" si="22"/>
        <v/>
      </c>
      <c r="P205" s="80" t="e">
        <f t="shared" si="23"/>
        <v>#REF!</v>
      </c>
      <c r="Q205" s="75">
        <v>1.81E-8</v>
      </c>
      <c r="R205" s="175" t="e">
        <f>IF(OR('Inventaire M-1'!#REF!="Dispo/Liquidité Investie",'Inventaire M-1'!#REF!="Option/Future",'Inventaire M-1'!#REF!="TCN",'Inventaire M-1'!#REF!=""),"-",'Inventaire M-1'!#REF!)</f>
        <v>#REF!</v>
      </c>
      <c r="S205" s="175" t="e">
        <f>IF(OR('Inventaire M-1'!#REF!="Dispo/Liquidité Investie",'Inventaire M-1'!#REF!="Option/Future",'Inventaire M-1'!#REF!="TCN",'Inventaire M-1'!#REF!=""),"-",'Inventaire M-1'!#REF!)</f>
        <v>#REF!</v>
      </c>
      <c r="T205" s="175"/>
      <c r="U205" s="175" t="e">
        <f>IF(R205="-","",INDEX('Inventaire M-1'!$A$2:$AG$9334,MATCH(R205,'Inventaire M-1'!$A:$A,0)-1,MATCH("Cours EUR",'Inventaire M-1'!#REF!,0)))</f>
        <v>#REF!</v>
      </c>
      <c r="V205" s="175" t="e">
        <f>IF(R205="-","",IF(ISERROR(INDEX('Inventaire M'!$A$2:$AD$9319,MATCH(R205,'Inventaire M'!$A:$A,0)-1,MATCH("Cours EUR",'Inventaire M'!#REF!,0))),"Sell",INDEX('Inventaire M'!$A$2:$AD$9319,MATCH(R205,'Inventaire M'!$A:$A,0)-1,MATCH("Cours EUR",'Inventaire M'!#REF!,0))))</f>
        <v>#REF!</v>
      </c>
      <c r="W205" s="175"/>
      <c r="X205" s="156" t="e">
        <f>IF(R205="-","",INDEX('Inventaire M-1'!$A$2:$AG$9334,MATCH(R205,'Inventaire M-1'!$A:$A,0)-1,MATCH("quantite",'Inventaire M-1'!#REF!,0)))</f>
        <v>#REF!</v>
      </c>
      <c r="Y205" s="156" t="e">
        <f>IF(S205="-","",IF(ISERROR(INDEX('Inventaire M'!$A$2:$AD$9319,MATCH(R205,'Inventaire M'!$A:$A,0)-1,MATCH("quantite",'Inventaire M'!#REF!,0))),"Sell",INDEX('Inventaire M'!$A$2:$AD$9319,MATCH(R205,'Inventaire M'!$A:$A,0)-1,MATCH("quantite",'Inventaire M'!#REF!,0))))</f>
        <v>#REF!</v>
      </c>
      <c r="Z205" s="175"/>
      <c r="AA205" s="155" t="e">
        <f>IF(R205="-","",INDEX('Inventaire M-1'!$A$2:$AG$9334,MATCH(R205,'Inventaire M-1'!$A:$A,0)-1,MATCH("poids",'Inventaire M-1'!#REF!,0)))</f>
        <v>#REF!</v>
      </c>
      <c r="AB205" s="155" t="e">
        <f>IF(R205="-","",IF(ISERROR(INDEX('Inventaire M'!$A$2:$AD$9319,MATCH(R205,'Inventaire M'!$A:$A,0)-1,MATCH("poids",'Inventaire M'!#REF!,0))),"Sell",INDEX('Inventaire M'!$A$2:$AD$9319,MATCH(R205,'Inventaire M'!$A:$A,0)-1,MATCH("poids",'Inventaire M'!#REF!,0))))</f>
        <v>#REF!</v>
      </c>
      <c r="AC205" s="175"/>
      <c r="AD205" s="157" t="str">
        <f t="shared" si="18"/>
        <v>0</v>
      </c>
      <c r="AE205" s="98" t="str">
        <f t="shared" si="19"/>
        <v/>
      </c>
      <c r="AF205" s="80" t="e">
        <f t="shared" si="20"/>
        <v>#REF!</v>
      </c>
    </row>
    <row r="206" spans="2:32" outlineLevel="1">
      <c r="B206" s="175" t="e">
        <f>IF(OR('Inventaire M'!#REF!="Dispo/Liquidité Investie",'Inventaire M'!#REF!="Option/Future",'Inventaire M'!#REF!="TCN",'Inventaire M'!#REF!=""),"-",'Inventaire M'!#REF!)</f>
        <v>#REF!</v>
      </c>
      <c r="C206" s="175" t="e">
        <f>IF(OR('Inventaire M'!#REF!="Dispo/Liquidité Investie",'Inventaire M'!#REF!="Option/Future",'Inventaire M'!#REF!="TCN",'Inventaire M'!#REF!=""),"-",'Inventaire M'!#REF!)</f>
        <v>#REF!</v>
      </c>
      <c r="D206" s="175"/>
      <c r="E206" s="175" t="e">
        <f>IF(B206="-","",INDEX('Inventaire M'!$A$2:$AW$9305,MATCH(B206,'Inventaire M'!$A:$A,0)-1,MATCH("Cours EUR",'Inventaire M'!#REF!,0)))</f>
        <v>#REF!</v>
      </c>
      <c r="F206" s="175" t="e">
        <f>IF(B206="-","",IF(ISERROR(INDEX('Inventaire M-1'!$A$2:$AZ$9320,MATCH(B206,'Inventaire M-1'!$A:$A,0)-1,MATCH("Cours EUR",'Inventaire M-1'!#REF!,0))),"Buy",INDEX('Inventaire M-1'!$A$2:$AZ$9320,MATCH(B206,'Inventaire M-1'!$A:$A,0)-1,MATCH("Cours EUR",'Inventaire M-1'!#REF!,0))))</f>
        <v>#REF!</v>
      </c>
      <c r="G206" s="175"/>
      <c r="H206" s="156" t="e">
        <f>IF(B206="-","",INDEX('Inventaire M'!$A$2:$AW$9305,MATCH(B206,'Inventaire M'!$A:$A,0)-1,MATCH("quantite",'Inventaire M'!#REF!,0)))</f>
        <v>#REF!</v>
      </c>
      <c r="I206" s="156" t="e">
        <f>IF(C206="-","",IF(ISERROR(INDEX('Inventaire M-1'!$A$2:$AZ$9320,MATCH(B206,'Inventaire M-1'!$A:$A,0)-1,MATCH("quantite",'Inventaire M-1'!#REF!,0))),"Buy",INDEX('Inventaire M-1'!$A$2:$AZ$9320,MATCH(B206,'Inventaire M-1'!$A:$A,0)-1,MATCH("quantite",'Inventaire M-1'!#REF!,0))))</f>
        <v>#REF!</v>
      </c>
      <c r="J206" s="175"/>
      <c r="K206" s="155" t="e">
        <f>IF(B206="-","",INDEX('Inventaire M'!$A$2:$AW$9305,MATCH(B206,'Inventaire M'!$A:$A,0)-1,MATCH("poids",'Inventaire M'!#REF!,0)))</f>
        <v>#REF!</v>
      </c>
      <c r="L206" s="155" t="e">
        <f>IF(B206="-","",IF(ISERROR(INDEX('Inventaire M-1'!$A$2:$AZ$9320,MATCH(B206,'Inventaire M-1'!$A:$A,0)-1,MATCH("poids",'Inventaire M-1'!#REF!,0))),"Buy",INDEX('Inventaire M-1'!$A$2:$AZ$9320,MATCH(B206,'Inventaire M-1'!$A:$A,0)-1,MATCH("poids",'Inventaire M-1'!#REF!,0))))</f>
        <v>#REF!</v>
      </c>
      <c r="M206" s="175"/>
      <c r="N206" s="157" t="str">
        <f t="shared" si="21"/>
        <v>0</v>
      </c>
      <c r="O206" s="98" t="str">
        <f t="shared" si="22"/>
        <v/>
      </c>
      <c r="P206" s="80" t="e">
        <f t="shared" si="23"/>
        <v>#REF!</v>
      </c>
      <c r="Q206" s="75">
        <v>1.8200000000000001E-8</v>
      </c>
      <c r="R206" s="175" t="e">
        <f>IF(OR('Inventaire M-1'!#REF!="Dispo/Liquidité Investie",'Inventaire M-1'!#REF!="Option/Future",'Inventaire M-1'!#REF!="TCN",'Inventaire M-1'!#REF!=""),"-",'Inventaire M-1'!#REF!)</f>
        <v>#REF!</v>
      </c>
      <c r="S206" s="175" t="e">
        <f>IF(OR('Inventaire M-1'!#REF!="Dispo/Liquidité Investie",'Inventaire M-1'!#REF!="Option/Future",'Inventaire M-1'!#REF!="TCN",'Inventaire M-1'!#REF!=""),"-",'Inventaire M-1'!#REF!)</f>
        <v>#REF!</v>
      </c>
      <c r="T206" s="175"/>
      <c r="U206" s="175" t="e">
        <f>IF(R206="-","",INDEX('Inventaire M-1'!$A$2:$AG$9334,MATCH(R206,'Inventaire M-1'!$A:$A,0)-1,MATCH("Cours EUR",'Inventaire M-1'!#REF!,0)))</f>
        <v>#REF!</v>
      </c>
      <c r="V206" s="175" t="e">
        <f>IF(R206="-","",IF(ISERROR(INDEX('Inventaire M'!$A$2:$AD$9319,MATCH(R206,'Inventaire M'!$A:$A,0)-1,MATCH("Cours EUR",'Inventaire M'!#REF!,0))),"Sell",INDEX('Inventaire M'!$A$2:$AD$9319,MATCH(R206,'Inventaire M'!$A:$A,0)-1,MATCH("Cours EUR",'Inventaire M'!#REF!,0))))</f>
        <v>#REF!</v>
      </c>
      <c r="W206" s="175"/>
      <c r="X206" s="156" t="e">
        <f>IF(R206="-","",INDEX('Inventaire M-1'!$A$2:$AG$9334,MATCH(R206,'Inventaire M-1'!$A:$A,0)-1,MATCH("quantite",'Inventaire M-1'!#REF!,0)))</f>
        <v>#REF!</v>
      </c>
      <c r="Y206" s="156" t="e">
        <f>IF(S206="-","",IF(ISERROR(INDEX('Inventaire M'!$A$2:$AD$9319,MATCH(R206,'Inventaire M'!$A:$A,0)-1,MATCH("quantite",'Inventaire M'!#REF!,0))),"Sell",INDEX('Inventaire M'!$A$2:$AD$9319,MATCH(R206,'Inventaire M'!$A:$A,0)-1,MATCH("quantite",'Inventaire M'!#REF!,0))))</f>
        <v>#REF!</v>
      </c>
      <c r="Z206" s="175"/>
      <c r="AA206" s="155" t="e">
        <f>IF(R206="-","",INDEX('Inventaire M-1'!$A$2:$AG$9334,MATCH(R206,'Inventaire M-1'!$A:$A,0)-1,MATCH("poids",'Inventaire M-1'!#REF!,0)))</f>
        <v>#REF!</v>
      </c>
      <c r="AB206" s="155" t="e">
        <f>IF(R206="-","",IF(ISERROR(INDEX('Inventaire M'!$A$2:$AD$9319,MATCH(R206,'Inventaire M'!$A:$A,0)-1,MATCH("poids",'Inventaire M'!#REF!,0))),"Sell",INDEX('Inventaire M'!$A$2:$AD$9319,MATCH(R206,'Inventaire M'!$A:$A,0)-1,MATCH("poids",'Inventaire M'!#REF!,0))))</f>
        <v>#REF!</v>
      </c>
      <c r="AC206" s="175"/>
      <c r="AD206" s="157" t="str">
        <f t="shared" si="18"/>
        <v>0</v>
      </c>
      <c r="AE206" s="98" t="str">
        <f t="shared" si="19"/>
        <v/>
      </c>
      <c r="AF206" s="80" t="e">
        <f t="shared" si="20"/>
        <v>#REF!</v>
      </c>
    </row>
    <row r="207" spans="2:32" outlineLevel="1">
      <c r="B207" s="175" t="e">
        <f>IF(OR('Inventaire M'!#REF!="Dispo/Liquidité Investie",'Inventaire M'!#REF!="Option/Future",'Inventaire M'!#REF!="TCN",'Inventaire M'!#REF!=""),"-",'Inventaire M'!#REF!)</f>
        <v>#REF!</v>
      </c>
      <c r="C207" s="175" t="e">
        <f>IF(OR('Inventaire M'!#REF!="Dispo/Liquidité Investie",'Inventaire M'!#REF!="Option/Future",'Inventaire M'!#REF!="TCN",'Inventaire M'!#REF!=""),"-",'Inventaire M'!#REF!)</f>
        <v>#REF!</v>
      </c>
      <c r="D207" s="175"/>
      <c r="E207" s="175" t="e">
        <f>IF(B207="-","",INDEX('Inventaire M'!$A$2:$AW$9305,MATCH(B207,'Inventaire M'!$A:$A,0)-1,MATCH("Cours EUR",'Inventaire M'!#REF!,0)))</f>
        <v>#REF!</v>
      </c>
      <c r="F207" s="175" t="e">
        <f>IF(B207="-","",IF(ISERROR(INDEX('Inventaire M-1'!$A$2:$AZ$9320,MATCH(B207,'Inventaire M-1'!$A:$A,0)-1,MATCH("Cours EUR",'Inventaire M-1'!#REF!,0))),"Buy",INDEX('Inventaire M-1'!$A$2:$AZ$9320,MATCH(B207,'Inventaire M-1'!$A:$A,0)-1,MATCH("Cours EUR",'Inventaire M-1'!#REF!,0))))</f>
        <v>#REF!</v>
      </c>
      <c r="G207" s="175"/>
      <c r="H207" s="156" t="e">
        <f>IF(B207="-","",INDEX('Inventaire M'!$A$2:$AW$9305,MATCH(B207,'Inventaire M'!$A:$A,0)-1,MATCH("quantite",'Inventaire M'!#REF!,0)))</f>
        <v>#REF!</v>
      </c>
      <c r="I207" s="156" t="e">
        <f>IF(C207="-","",IF(ISERROR(INDEX('Inventaire M-1'!$A$2:$AZ$9320,MATCH(B207,'Inventaire M-1'!$A:$A,0)-1,MATCH("quantite",'Inventaire M-1'!#REF!,0))),"Buy",INDEX('Inventaire M-1'!$A$2:$AZ$9320,MATCH(B207,'Inventaire M-1'!$A:$A,0)-1,MATCH("quantite",'Inventaire M-1'!#REF!,0))))</f>
        <v>#REF!</v>
      </c>
      <c r="J207" s="175"/>
      <c r="K207" s="155" t="e">
        <f>IF(B207="-","",INDEX('Inventaire M'!$A$2:$AW$9305,MATCH(B207,'Inventaire M'!$A:$A,0)-1,MATCH("poids",'Inventaire M'!#REF!,0)))</f>
        <v>#REF!</v>
      </c>
      <c r="L207" s="155" t="e">
        <f>IF(B207="-","",IF(ISERROR(INDEX('Inventaire M-1'!$A$2:$AZ$9320,MATCH(B207,'Inventaire M-1'!$A:$A,0)-1,MATCH("poids",'Inventaire M-1'!#REF!,0))),"Buy",INDEX('Inventaire M-1'!$A$2:$AZ$9320,MATCH(B207,'Inventaire M-1'!$A:$A,0)-1,MATCH("poids",'Inventaire M-1'!#REF!,0))))</f>
        <v>#REF!</v>
      </c>
      <c r="M207" s="175"/>
      <c r="N207" s="157" t="str">
        <f t="shared" si="21"/>
        <v>0</v>
      </c>
      <c r="O207" s="98" t="str">
        <f t="shared" si="22"/>
        <v/>
      </c>
      <c r="P207" s="80" t="e">
        <f t="shared" si="23"/>
        <v>#REF!</v>
      </c>
      <c r="Q207" s="75">
        <v>1.8299999999999998E-8</v>
      </c>
      <c r="R207" s="175" t="e">
        <f>IF(OR('Inventaire M-1'!#REF!="Dispo/Liquidité Investie",'Inventaire M-1'!#REF!="Option/Future",'Inventaire M-1'!#REF!="TCN",'Inventaire M-1'!#REF!=""),"-",'Inventaire M-1'!#REF!)</f>
        <v>#REF!</v>
      </c>
      <c r="S207" s="175" t="e">
        <f>IF(OR('Inventaire M-1'!#REF!="Dispo/Liquidité Investie",'Inventaire M-1'!#REF!="Option/Future",'Inventaire M-1'!#REF!="TCN",'Inventaire M-1'!#REF!=""),"-",'Inventaire M-1'!#REF!)</f>
        <v>#REF!</v>
      </c>
      <c r="T207" s="175"/>
      <c r="U207" s="175" t="e">
        <f>IF(R207="-","",INDEX('Inventaire M-1'!$A$2:$AG$9334,MATCH(R207,'Inventaire M-1'!$A:$A,0)-1,MATCH("Cours EUR",'Inventaire M-1'!#REF!,0)))</f>
        <v>#REF!</v>
      </c>
      <c r="V207" s="175" t="e">
        <f>IF(R207="-","",IF(ISERROR(INDEX('Inventaire M'!$A$2:$AD$9319,MATCH(R207,'Inventaire M'!$A:$A,0)-1,MATCH("Cours EUR",'Inventaire M'!#REF!,0))),"Sell",INDEX('Inventaire M'!$A$2:$AD$9319,MATCH(R207,'Inventaire M'!$A:$A,0)-1,MATCH("Cours EUR",'Inventaire M'!#REF!,0))))</f>
        <v>#REF!</v>
      </c>
      <c r="W207" s="175"/>
      <c r="X207" s="156" t="e">
        <f>IF(R207="-","",INDEX('Inventaire M-1'!$A$2:$AG$9334,MATCH(R207,'Inventaire M-1'!$A:$A,0)-1,MATCH("quantite",'Inventaire M-1'!#REF!,0)))</f>
        <v>#REF!</v>
      </c>
      <c r="Y207" s="156" t="e">
        <f>IF(S207="-","",IF(ISERROR(INDEX('Inventaire M'!$A$2:$AD$9319,MATCH(R207,'Inventaire M'!$A:$A,0)-1,MATCH("quantite",'Inventaire M'!#REF!,0))),"Sell",INDEX('Inventaire M'!$A$2:$AD$9319,MATCH(R207,'Inventaire M'!$A:$A,0)-1,MATCH("quantite",'Inventaire M'!#REF!,0))))</f>
        <v>#REF!</v>
      </c>
      <c r="Z207" s="175"/>
      <c r="AA207" s="155" t="e">
        <f>IF(R207="-","",INDEX('Inventaire M-1'!$A$2:$AG$9334,MATCH(R207,'Inventaire M-1'!$A:$A,0)-1,MATCH("poids",'Inventaire M-1'!#REF!,0)))</f>
        <v>#REF!</v>
      </c>
      <c r="AB207" s="155" t="e">
        <f>IF(R207="-","",IF(ISERROR(INDEX('Inventaire M'!$A$2:$AD$9319,MATCH(R207,'Inventaire M'!$A:$A,0)-1,MATCH("poids",'Inventaire M'!#REF!,0))),"Sell",INDEX('Inventaire M'!$A$2:$AD$9319,MATCH(R207,'Inventaire M'!$A:$A,0)-1,MATCH("poids",'Inventaire M'!#REF!,0))))</f>
        <v>#REF!</v>
      </c>
      <c r="AC207" s="175"/>
      <c r="AD207" s="157" t="str">
        <f t="shared" si="18"/>
        <v>0</v>
      </c>
      <c r="AE207" s="98" t="str">
        <f t="shared" si="19"/>
        <v/>
      </c>
      <c r="AF207" s="80" t="e">
        <f t="shared" si="20"/>
        <v>#REF!</v>
      </c>
    </row>
    <row r="208" spans="2:32" outlineLevel="1">
      <c r="B208" s="175" t="e">
        <f>IF(OR('Inventaire M'!#REF!="Dispo/Liquidité Investie",'Inventaire M'!#REF!="Option/Future",'Inventaire M'!#REF!="TCN",'Inventaire M'!#REF!=""),"-",'Inventaire M'!#REF!)</f>
        <v>#REF!</v>
      </c>
      <c r="C208" s="175" t="e">
        <f>IF(OR('Inventaire M'!#REF!="Dispo/Liquidité Investie",'Inventaire M'!#REF!="Option/Future",'Inventaire M'!#REF!="TCN",'Inventaire M'!#REF!=""),"-",'Inventaire M'!#REF!)</f>
        <v>#REF!</v>
      </c>
      <c r="D208" s="175"/>
      <c r="E208" s="175" t="e">
        <f>IF(B208="-","",INDEX('Inventaire M'!$A$2:$AW$9305,MATCH(B208,'Inventaire M'!$A:$A,0)-1,MATCH("Cours EUR",'Inventaire M'!#REF!,0)))</f>
        <v>#REF!</v>
      </c>
      <c r="F208" s="175" t="e">
        <f>IF(B208="-","",IF(ISERROR(INDEX('Inventaire M-1'!$A$2:$AZ$9320,MATCH(B208,'Inventaire M-1'!$A:$A,0)-1,MATCH("Cours EUR",'Inventaire M-1'!#REF!,0))),"Buy",INDEX('Inventaire M-1'!$A$2:$AZ$9320,MATCH(B208,'Inventaire M-1'!$A:$A,0)-1,MATCH("Cours EUR",'Inventaire M-1'!#REF!,0))))</f>
        <v>#REF!</v>
      </c>
      <c r="G208" s="175"/>
      <c r="H208" s="156" t="e">
        <f>IF(B208="-","",INDEX('Inventaire M'!$A$2:$AW$9305,MATCH(B208,'Inventaire M'!$A:$A,0)-1,MATCH("quantite",'Inventaire M'!#REF!,0)))</f>
        <v>#REF!</v>
      </c>
      <c r="I208" s="156" t="e">
        <f>IF(C208="-","",IF(ISERROR(INDEX('Inventaire M-1'!$A$2:$AZ$9320,MATCH(B208,'Inventaire M-1'!$A:$A,0)-1,MATCH("quantite",'Inventaire M-1'!#REF!,0))),"Buy",INDEX('Inventaire M-1'!$A$2:$AZ$9320,MATCH(B208,'Inventaire M-1'!$A:$A,0)-1,MATCH("quantite",'Inventaire M-1'!#REF!,0))))</f>
        <v>#REF!</v>
      </c>
      <c r="J208" s="175"/>
      <c r="K208" s="155" t="e">
        <f>IF(B208="-","",INDEX('Inventaire M'!$A$2:$AW$9305,MATCH(B208,'Inventaire M'!$A:$A,0)-1,MATCH("poids",'Inventaire M'!#REF!,0)))</f>
        <v>#REF!</v>
      </c>
      <c r="L208" s="155" t="e">
        <f>IF(B208="-","",IF(ISERROR(INDEX('Inventaire M-1'!$A$2:$AZ$9320,MATCH(B208,'Inventaire M-1'!$A:$A,0)-1,MATCH("poids",'Inventaire M-1'!#REF!,0))),"Buy",INDEX('Inventaire M-1'!$A$2:$AZ$9320,MATCH(B208,'Inventaire M-1'!$A:$A,0)-1,MATCH("poids",'Inventaire M-1'!#REF!,0))))</f>
        <v>#REF!</v>
      </c>
      <c r="M208" s="175"/>
      <c r="N208" s="157" t="str">
        <f t="shared" si="21"/>
        <v>0</v>
      </c>
      <c r="O208" s="98" t="str">
        <f t="shared" si="22"/>
        <v/>
      </c>
      <c r="P208" s="80" t="e">
        <f t="shared" si="23"/>
        <v>#REF!</v>
      </c>
      <c r="Q208" s="75">
        <v>1.8399999999999999E-8</v>
      </c>
      <c r="R208" s="175" t="e">
        <f>IF(OR('Inventaire M-1'!#REF!="Dispo/Liquidité Investie",'Inventaire M-1'!#REF!="Option/Future",'Inventaire M-1'!#REF!="TCN",'Inventaire M-1'!#REF!=""),"-",'Inventaire M-1'!#REF!)</f>
        <v>#REF!</v>
      </c>
      <c r="S208" s="175" t="e">
        <f>IF(OR('Inventaire M-1'!#REF!="Dispo/Liquidité Investie",'Inventaire M-1'!#REF!="Option/Future",'Inventaire M-1'!#REF!="TCN",'Inventaire M-1'!#REF!=""),"-",'Inventaire M-1'!#REF!)</f>
        <v>#REF!</v>
      </c>
      <c r="T208" s="175"/>
      <c r="U208" s="175" t="e">
        <f>IF(R208="-","",INDEX('Inventaire M-1'!$A$2:$AG$9334,MATCH(R208,'Inventaire M-1'!$A:$A,0)-1,MATCH("Cours EUR",'Inventaire M-1'!#REF!,0)))</f>
        <v>#REF!</v>
      </c>
      <c r="V208" s="175" t="e">
        <f>IF(R208="-","",IF(ISERROR(INDEX('Inventaire M'!$A$2:$AD$9319,MATCH(R208,'Inventaire M'!$A:$A,0)-1,MATCH("Cours EUR",'Inventaire M'!#REF!,0))),"Sell",INDEX('Inventaire M'!$A$2:$AD$9319,MATCH(R208,'Inventaire M'!$A:$A,0)-1,MATCH("Cours EUR",'Inventaire M'!#REF!,0))))</f>
        <v>#REF!</v>
      </c>
      <c r="W208" s="175"/>
      <c r="X208" s="156" t="e">
        <f>IF(R208="-","",INDEX('Inventaire M-1'!$A$2:$AG$9334,MATCH(R208,'Inventaire M-1'!$A:$A,0)-1,MATCH("quantite",'Inventaire M-1'!#REF!,0)))</f>
        <v>#REF!</v>
      </c>
      <c r="Y208" s="156" t="e">
        <f>IF(S208="-","",IF(ISERROR(INDEX('Inventaire M'!$A$2:$AD$9319,MATCH(R208,'Inventaire M'!$A:$A,0)-1,MATCH("quantite",'Inventaire M'!#REF!,0))),"Sell",INDEX('Inventaire M'!$A$2:$AD$9319,MATCH(R208,'Inventaire M'!$A:$A,0)-1,MATCH("quantite",'Inventaire M'!#REF!,0))))</f>
        <v>#REF!</v>
      </c>
      <c r="Z208" s="175"/>
      <c r="AA208" s="155" t="e">
        <f>IF(R208="-","",INDEX('Inventaire M-1'!$A$2:$AG$9334,MATCH(R208,'Inventaire M-1'!$A:$A,0)-1,MATCH("poids",'Inventaire M-1'!#REF!,0)))</f>
        <v>#REF!</v>
      </c>
      <c r="AB208" s="155" t="e">
        <f>IF(R208="-","",IF(ISERROR(INDEX('Inventaire M'!$A$2:$AD$9319,MATCH(R208,'Inventaire M'!$A:$A,0)-1,MATCH("poids",'Inventaire M'!#REF!,0))),"Sell",INDEX('Inventaire M'!$A$2:$AD$9319,MATCH(R208,'Inventaire M'!$A:$A,0)-1,MATCH("poids",'Inventaire M'!#REF!,0))))</f>
        <v>#REF!</v>
      </c>
      <c r="AC208" s="175"/>
      <c r="AD208" s="157" t="str">
        <f t="shared" si="18"/>
        <v>0</v>
      </c>
      <c r="AE208" s="98" t="str">
        <f t="shared" si="19"/>
        <v/>
      </c>
      <c r="AF208" s="80" t="e">
        <f t="shared" si="20"/>
        <v>#REF!</v>
      </c>
    </row>
    <row r="209" spans="2:32" outlineLevel="1">
      <c r="B209" s="175" t="e">
        <f>IF(OR('Inventaire M'!#REF!="Dispo/Liquidité Investie",'Inventaire M'!#REF!="Option/Future",'Inventaire M'!#REF!="TCN",'Inventaire M'!#REF!=""),"-",'Inventaire M'!#REF!)</f>
        <v>#REF!</v>
      </c>
      <c r="C209" s="175" t="e">
        <f>IF(OR('Inventaire M'!#REF!="Dispo/Liquidité Investie",'Inventaire M'!#REF!="Option/Future",'Inventaire M'!#REF!="TCN",'Inventaire M'!#REF!=""),"-",'Inventaire M'!#REF!)</f>
        <v>#REF!</v>
      </c>
      <c r="D209" s="175"/>
      <c r="E209" s="175" t="e">
        <f>IF(B209="-","",INDEX('Inventaire M'!$A$2:$AW$9305,MATCH(B209,'Inventaire M'!$A:$A,0)-1,MATCH("Cours EUR",'Inventaire M'!#REF!,0)))</f>
        <v>#REF!</v>
      </c>
      <c r="F209" s="175" t="e">
        <f>IF(B209="-","",IF(ISERROR(INDEX('Inventaire M-1'!$A$2:$AZ$9320,MATCH(B209,'Inventaire M-1'!$A:$A,0)-1,MATCH("Cours EUR",'Inventaire M-1'!#REF!,0))),"Buy",INDEX('Inventaire M-1'!$A$2:$AZ$9320,MATCH(B209,'Inventaire M-1'!$A:$A,0)-1,MATCH("Cours EUR",'Inventaire M-1'!#REF!,0))))</f>
        <v>#REF!</v>
      </c>
      <c r="G209" s="175"/>
      <c r="H209" s="156" t="e">
        <f>IF(B209="-","",INDEX('Inventaire M'!$A$2:$AW$9305,MATCH(B209,'Inventaire M'!$A:$A,0)-1,MATCH("quantite",'Inventaire M'!#REF!,0)))</f>
        <v>#REF!</v>
      </c>
      <c r="I209" s="156" t="e">
        <f>IF(C209="-","",IF(ISERROR(INDEX('Inventaire M-1'!$A$2:$AZ$9320,MATCH(B209,'Inventaire M-1'!$A:$A,0)-1,MATCH("quantite",'Inventaire M-1'!#REF!,0))),"Buy",INDEX('Inventaire M-1'!$A$2:$AZ$9320,MATCH(B209,'Inventaire M-1'!$A:$A,0)-1,MATCH("quantite",'Inventaire M-1'!#REF!,0))))</f>
        <v>#REF!</v>
      </c>
      <c r="J209" s="175"/>
      <c r="K209" s="155" t="e">
        <f>IF(B209="-","",INDEX('Inventaire M'!$A$2:$AW$9305,MATCH(B209,'Inventaire M'!$A:$A,0)-1,MATCH("poids",'Inventaire M'!#REF!,0)))</f>
        <v>#REF!</v>
      </c>
      <c r="L209" s="155" t="e">
        <f>IF(B209="-","",IF(ISERROR(INDEX('Inventaire M-1'!$A$2:$AZ$9320,MATCH(B209,'Inventaire M-1'!$A:$A,0)-1,MATCH("poids",'Inventaire M-1'!#REF!,0))),"Buy",INDEX('Inventaire M-1'!$A$2:$AZ$9320,MATCH(B209,'Inventaire M-1'!$A:$A,0)-1,MATCH("poids",'Inventaire M-1'!#REF!,0))))</f>
        <v>#REF!</v>
      </c>
      <c r="M209" s="175"/>
      <c r="N209" s="157" t="str">
        <f t="shared" si="21"/>
        <v>0</v>
      </c>
      <c r="O209" s="98" t="str">
        <f t="shared" si="22"/>
        <v/>
      </c>
      <c r="P209" s="80" t="e">
        <f t="shared" si="23"/>
        <v>#REF!</v>
      </c>
      <c r="Q209" s="75">
        <v>1.85E-8</v>
      </c>
      <c r="R209" s="175" t="e">
        <f>IF(OR('Inventaire M-1'!#REF!="Dispo/Liquidité Investie",'Inventaire M-1'!#REF!="Option/Future",'Inventaire M-1'!#REF!="TCN",'Inventaire M-1'!#REF!=""),"-",'Inventaire M-1'!#REF!)</f>
        <v>#REF!</v>
      </c>
      <c r="S209" s="175" t="e">
        <f>IF(OR('Inventaire M-1'!#REF!="Dispo/Liquidité Investie",'Inventaire M-1'!#REF!="Option/Future",'Inventaire M-1'!#REF!="TCN",'Inventaire M-1'!#REF!=""),"-",'Inventaire M-1'!#REF!)</f>
        <v>#REF!</v>
      </c>
      <c r="T209" s="175"/>
      <c r="U209" s="175" t="e">
        <f>IF(R209="-","",INDEX('Inventaire M-1'!$A$2:$AG$9334,MATCH(R209,'Inventaire M-1'!$A:$A,0)-1,MATCH("Cours EUR",'Inventaire M-1'!#REF!,0)))</f>
        <v>#REF!</v>
      </c>
      <c r="V209" s="175" t="e">
        <f>IF(R209="-","",IF(ISERROR(INDEX('Inventaire M'!$A$2:$AD$9319,MATCH(R209,'Inventaire M'!$A:$A,0)-1,MATCH("Cours EUR",'Inventaire M'!#REF!,0))),"Sell",INDEX('Inventaire M'!$A$2:$AD$9319,MATCH(R209,'Inventaire M'!$A:$A,0)-1,MATCH("Cours EUR",'Inventaire M'!#REF!,0))))</f>
        <v>#REF!</v>
      </c>
      <c r="W209" s="175"/>
      <c r="X209" s="156" t="e">
        <f>IF(R209="-","",INDEX('Inventaire M-1'!$A$2:$AG$9334,MATCH(R209,'Inventaire M-1'!$A:$A,0)-1,MATCH("quantite",'Inventaire M-1'!#REF!,0)))</f>
        <v>#REF!</v>
      </c>
      <c r="Y209" s="156" t="e">
        <f>IF(S209="-","",IF(ISERROR(INDEX('Inventaire M'!$A$2:$AD$9319,MATCH(R209,'Inventaire M'!$A:$A,0)-1,MATCH("quantite",'Inventaire M'!#REF!,0))),"Sell",INDEX('Inventaire M'!$A$2:$AD$9319,MATCH(R209,'Inventaire M'!$A:$A,0)-1,MATCH("quantite",'Inventaire M'!#REF!,0))))</f>
        <v>#REF!</v>
      </c>
      <c r="Z209" s="175"/>
      <c r="AA209" s="155" t="e">
        <f>IF(R209="-","",INDEX('Inventaire M-1'!$A$2:$AG$9334,MATCH(R209,'Inventaire M-1'!$A:$A,0)-1,MATCH("poids",'Inventaire M-1'!#REF!,0)))</f>
        <v>#REF!</v>
      </c>
      <c r="AB209" s="155" t="e">
        <f>IF(R209="-","",IF(ISERROR(INDEX('Inventaire M'!$A$2:$AD$9319,MATCH(R209,'Inventaire M'!$A:$A,0)-1,MATCH("poids",'Inventaire M'!#REF!,0))),"Sell",INDEX('Inventaire M'!$A$2:$AD$9319,MATCH(R209,'Inventaire M'!$A:$A,0)-1,MATCH("poids",'Inventaire M'!#REF!,0))))</f>
        <v>#REF!</v>
      </c>
      <c r="AC209" s="175"/>
      <c r="AD209" s="157" t="str">
        <f t="shared" si="18"/>
        <v>0</v>
      </c>
      <c r="AE209" s="98" t="str">
        <f t="shared" si="19"/>
        <v/>
      </c>
      <c r="AF209" s="80" t="e">
        <f t="shared" si="20"/>
        <v>#REF!</v>
      </c>
    </row>
    <row r="210" spans="2:32" outlineLevel="1">
      <c r="B210" s="175" t="e">
        <f>IF(OR('Inventaire M'!#REF!="Dispo/Liquidité Investie",'Inventaire M'!#REF!="Option/Future",'Inventaire M'!#REF!="TCN",'Inventaire M'!#REF!=""),"-",'Inventaire M'!#REF!)</f>
        <v>#REF!</v>
      </c>
      <c r="C210" s="175" t="e">
        <f>IF(OR('Inventaire M'!#REF!="Dispo/Liquidité Investie",'Inventaire M'!#REF!="Option/Future",'Inventaire M'!#REF!="TCN",'Inventaire M'!#REF!=""),"-",'Inventaire M'!#REF!)</f>
        <v>#REF!</v>
      </c>
      <c r="D210" s="175"/>
      <c r="E210" s="175" t="e">
        <f>IF(B210="-","",INDEX('Inventaire M'!$A$2:$AW$9305,MATCH(B210,'Inventaire M'!$A:$A,0)-1,MATCH("Cours EUR",'Inventaire M'!#REF!,0)))</f>
        <v>#REF!</v>
      </c>
      <c r="F210" s="175" t="e">
        <f>IF(B210="-","",IF(ISERROR(INDEX('Inventaire M-1'!$A$2:$AZ$9320,MATCH(B210,'Inventaire M-1'!$A:$A,0)-1,MATCH("Cours EUR",'Inventaire M-1'!#REF!,0))),"Buy",INDEX('Inventaire M-1'!$A$2:$AZ$9320,MATCH(B210,'Inventaire M-1'!$A:$A,0)-1,MATCH("Cours EUR",'Inventaire M-1'!#REF!,0))))</f>
        <v>#REF!</v>
      </c>
      <c r="G210" s="175"/>
      <c r="H210" s="156" t="e">
        <f>IF(B210="-","",INDEX('Inventaire M'!$A$2:$AW$9305,MATCH(B210,'Inventaire M'!$A:$A,0)-1,MATCH("quantite",'Inventaire M'!#REF!,0)))</f>
        <v>#REF!</v>
      </c>
      <c r="I210" s="156" t="e">
        <f>IF(C210="-","",IF(ISERROR(INDEX('Inventaire M-1'!$A$2:$AZ$9320,MATCH(B210,'Inventaire M-1'!$A:$A,0)-1,MATCH("quantite",'Inventaire M-1'!#REF!,0))),"Buy",INDEX('Inventaire M-1'!$A$2:$AZ$9320,MATCH(B210,'Inventaire M-1'!$A:$A,0)-1,MATCH("quantite",'Inventaire M-1'!#REF!,0))))</f>
        <v>#REF!</v>
      </c>
      <c r="J210" s="175"/>
      <c r="K210" s="155" t="e">
        <f>IF(B210="-","",INDEX('Inventaire M'!$A$2:$AW$9305,MATCH(B210,'Inventaire M'!$A:$A,0)-1,MATCH("poids",'Inventaire M'!#REF!,0)))</f>
        <v>#REF!</v>
      </c>
      <c r="L210" s="155" t="e">
        <f>IF(B210="-","",IF(ISERROR(INDEX('Inventaire M-1'!$A$2:$AZ$9320,MATCH(B210,'Inventaire M-1'!$A:$A,0)-1,MATCH("poids",'Inventaire M-1'!#REF!,0))),"Buy",INDEX('Inventaire M-1'!$A$2:$AZ$9320,MATCH(B210,'Inventaire M-1'!$A:$A,0)-1,MATCH("poids",'Inventaire M-1'!#REF!,0))))</f>
        <v>#REF!</v>
      </c>
      <c r="M210" s="175"/>
      <c r="N210" s="157" t="str">
        <f t="shared" si="21"/>
        <v>0</v>
      </c>
      <c r="O210" s="98" t="str">
        <f t="shared" si="22"/>
        <v/>
      </c>
      <c r="P210" s="80" t="e">
        <f t="shared" si="23"/>
        <v>#REF!</v>
      </c>
      <c r="Q210" s="75">
        <v>1.8600000000000001E-8</v>
      </c>
      <c r="R210" s="175" t="e">
        <f>IF(OR('Inventaire M-1'!#REF!="Dispo/Liquidité Investie",'Inventaire M-1'!#REF!="Option/Future",'Inventaire M-1'!#REF!="TCN",'Inventaire M-1'!#REF!=""),"-",'Inventaire M-1'!#REF!)</f>
        <v>#REF!</v>
      </c>
      <c r="S210" s="175" t="e">
        <f>IF(OR('Inventaire M-1'!#REF!="Dispo/Liquidité Investie",'Inventaire M-1'!#REF!="Option/Future",'Inventaire M-1'!#REF!="TCN",'Inventaire M-1'!#REF!=""),"-",'Inventaire M-1'!#REF!)</f>
        <v>#REF!</v>
      </c>
      <c r="T210" s="175"/>
      <c r="U210" s="175" t="e">
        <f>IF(R210="-","",INDEX('Inventaire M-1'!$A$2:$AG$9334,MATCH(R210,'Inventaire M-1'!$A:$A,0)-1,MATCH("Cours EUR",'Inventaire M-1'!#REF!,0)))</f>
        <v>#REF!</v>
      </c>
      <c r="V210" s="175" t="e">
        <f>IF(R210="-","",IF(ISERROR(INDEX('Inventaire M'!$A$2:$AD$9319,MATCH(R210,'Inventaire M'!$A:$A,0)-1,MATCH("Cours EUR",'Inventaire M'!#REF!,0))),"Sell",INDEX('Inventaire M'!$A$2:$AD$9319,MATCH(R210,'Inventaire M'!$A:$A,0)-1,MATCH("Cours EUR",'Inventaire M'!#REF!,0))))</f>
        <v>#REF!</v>
      </c>
      <c r="W210" s="175"/>
      <c r="X210" s="156" t="e">
        <f>IF(R210="-","",INDEX('Inventaire M-1'!$A$2:$AG$9334,MATCH(R210,'Inventaire M-1'!$A:$A,0)-1,MATCH("quantite",'Inventaire M-1'!#REF!,0)))</f>
        <v>#REF!</v>
      </c>
      <c r="Y210" s="156" t="e">
        <f>IF(S210="-","",IF(ISERROR(INDEX('Inventaire M'!$A$2:$AD$9319,MATCH(R210,'Inventaire M'!$A:$A,0)-1,MATCH("quantite",'Inventaire M'!#REF!,0))),"Sell",INDEX('Inventaire M'!$A$2:$AD$9319,MATCH(R210,'Inventaire M'!$A:$A,0)-1,MATCH("quantite",'Inventaire M'!#REF!,0))))</f>
        <v>#REF!</v>
      </c>
      <c r="Z210" s="175"/>
      <c r="AA210" s="155" t="e">
        <f>IF(R210="-","",INDEX('Inventaire M-1'!$A$2:$AG$9334,MATCH(R210,'Inventaire M-1'!$A:$A,0)-1,MATCH("poids",'Inventaire M-1'!#REF!,0)))</f>
        <v>#REF!</v>
      </c>
      <c r="AB210" s="155" t="e">
        <f>IF(R210="-","",IF(ISERROR(INDEX('Inventaire M'!$A$2:$AD$9319,MATCH(R210,'Inventaire M'!$A:$A,0)-1,MATCH("poids",'Inventaire M'!#REF!,0))),"Sell",INDEX('Inventaire M'!$A$2:$AD$9319,MATCH(R210,'Inventaire M'!$A:$A,0)-1,MATCH("poids",'Inventaire M'!#REF!,0))))</f>
        <v>#REF!</v>
      </c>
      <c r="AC210" s="175"/>
      <c r="AD210" s="157" t="str">
        <f t="shared" si="18"/>
        <v>0</v>
      </c>
      <c r="AE210" s="98" t="str">
        <f t="shared" si="19"/>
        <v/>
      </c>
      <c r="AF210" s="80" t="e">
        <f t="shared" si="20"/>
        <v>#REF!</v>
      </c>
    </row>
    <row r="211" spans="2:32" outlineLevel="1">
      <c r="B211" s="175" t="e">
        <f>IF(OR('Inventaire M'!#REF!="Dispo/Liquidité Investie",'Inventaire M'!#REF!="Option/Future",'Inventaire M'!#REF!="TCN",'Inventaire M'!#REF!=""),"-",'Inventaire M'!#REF!)</f>
        <v>#REF!</v>
      </c>
      <c r="C211" s="175" t="e">
        <f>IF(OR('Inventaire M'!#REF!="Dispo/Liquidité Investie",'Inventaire M'!#REF!="Option/Future",'Inventaire M'!#REF!="TCN",'Inventaire M'!#REF!=""),"-",'Inventaire M'!#REF!)</f>
        <v>#REF!</v>
      </c>
      <c r="D211" s="175"/>
      <c r="E211" s="175" t="e">
        <f>IF(B211="-","",INDEX('Inventaire M'!$A$2:$AW$9305,MATCH(B211,'Inventaire M'!$A:$A,0)-1,MATCH("Cours EUR",'Inventaire M'!#REF!,0)))</f>
        <v>#REF!</v>
      </c>
      <c r="F211" s="175" t="e">
        <f>IF(B211="-","",IF(ISERROR(INDEX('Inventaire M-1'!$A$2:$AZ$9320,MATCH(B211,'Inventaire M-1'!$A:$A,0)-1,MATCH("Cours EUR",'Inventaire M-1'!#REF!,0))),"Buy",INDEX('Inventaire M-1'!$A$2:$AZ$9320,MATCH(B211,'Inventaire M-1'!$A:$A,0)-1,MATCH("Cours EUR",'Inventaire M-1'!#REF!,0))))</f>
        <v>#REF!</v>
      </c>
      <c r="G211" s="175"/>
      <c r="H211" s="156" t="e">
        <f>IF(B211="-","",INDEX('Inventaire M'!$A$2:$AW$9305,MATCH(B211,'Inventaire M'!$A:$A,0)-1,MATCH("quantite",'Inventaire M'!#REF!,0)))</f>
        <v>#REF!</v>
      </c>
      <c r="I211" s="156" t="e">
        <f>IF(C211="-","",IF(ISERROR(INDEX('Inventaire M-1'!$A$2:$AZ$9320,MATCH(B211,'Inventaire M-1'!$A:$A,0)-1,MATCH("quantite",'Inventaire M-1'!#REF!,0))),"Buy",INDEX('Inventaire M-1'!$A$2:$AZ$9320,MATCH(B211,'Inventaire M-1'!$A:$A,0)-1,MATCH("quantite",'Inventaire M-1'!#REF!,0))))</f>
        <v>#REF!</v>
      </c>
      <c r="J211" s="175"/>
      <c r="K211" s="155" t="e">
        <f>IF(B211="-","",INDEX('Inventaire M'!$A$2:$AW$9305,MATCH(B211,'Inventaire M'!$A:$A,0)-1,MATCH("poids",'Inventaire M'!#REF!,0)))</f>
        <v>#REF!</v>
      </c>
      <c r="L211" s="155" t="e">
        <f>IF(B211="-","",IF(ISERROR(INDEX('Inventaire M-1'!$A$2:$AZ$9320,MATCH(B211,'Inventaire M-1'!$A:$A,0)-1,MATCH("poids",'Inventaire M-1'!#REF!,0))),"Buy",INDEX('Inventaire M-1'!$A$2:$AZ$9320,MATCH(B211,'Inventaire M-1'!$A:$A,0)-1,MATCH("poids",'Inventaire M-1'!#REF!,0))))</f>
        <v>#REF!</v>
      </c>
      <c r="M211" s="175"/>
      <c r="N211" s="157" t="str">
        <f t="shared" si="21"/>
        <v>0</v>
      </c>
      <c r="O211" s="98" t="str">
        <f t="shared" si="22"/>
        <v/>
      </c>
      <c r="P211" s="80" t="e">
        <f t="shared" si="23"/>
        <v>#REF!</v>
      </c>
      <c r="Q211" s="75">
        <v>1.8699999999999999E-8</v>
      </c>
      <c r="R211" s="175" t="e">
        <f>IF(OR('Inventaire M-1'!#REF!="Dispo/Liquidité Investie",'Inventaire M-1'!#REF!="Option/Future",'Inventaire M-1'!#REF!="TCN",'Inventaire M-1'!#REF!=""),"-",'Inventaire M-1'!#REF!)</f>
        <v>#REF!</v>
      </c>
      <c r="S211" s="175" t="e">
        <f>IF(OR('Inventaire M-1'!#REF!="Dispo/Liquidité Investie",'Inventaire M-1'!#REF!="Option/Future",'Inventaire M-1'!#REF!="TCN",'Inventaire M-1'!#REF!=""),"-",'Inventaire M-1'!#REF!)</f>
        <v>#REF!</v>
      </c>
      <c r="T211" s="175"/>
      <c r="U211" s="175" t="e">
        <f>IF(R211="-","",INDEX('Inventaire M-1'!$A$2:$AG$9334,MATCH(R211,'Inventaire M-1'!$A:$A,0)-1,MATCH("Cours EUR",'Inventaire M-1'!#REF!,0)))</f>
        <v>#REF!</v>
      </c>
      <c r="V211" s="175" t="e">
        <f>IF(R211="-","",IF(ISERROR(INDEX('Inventaire M'!$A$2:$AD$9319,MATCH(R211,'Inventaire M'!$A:$A,0)-1,MATCH("Cours EUR",'Inventaire M'!#REF!,0))),"Sell",INDEX('Inventaire M'!$A$2:$AD$9319,MATCH(R211,'Inventaire M'!$A:$A,0)-1,MATCH("Cours EUR",'Inventaire M'!#REF!,0))))</f>
        <v>#REF!</v>
      </c>
      <c r="W211" s="175"/>
      <c r="X211" s="156" t="e">
        <f>IF(R211="-","",INDEX('Inventaire M-1'!$A$2:$AG$9334,MATCH(R211,'Inventaire M-1'!$A:$A,0)-1,MATCH("quantite",'Inventaire M-1'!#REF!,0)))</f>
        <v>#REF!</v>
      </c>
      <c r="Y211" s="156" t="e">
        <f>IF(S211="-","",IF(ISERROR(INDEX('Inventaire M'!$A$2:$AD$9319,MATCH(R211,'Inventaire M'!$A:$A,0)-1,MATCH("quantite",'Inventaire M'!#REF!,0))),"Sell",INDEX('Inventaire M'!$A$2:$AD$9319,MATCH(R211,'Inventaire M'!$A:$A,0)-1,MATCH("quantite",'Inventaire M'!#REF!,0))))</f>
        <v>#REF!</v>
      </c>
      <c r="Z211" s="175"/>
      <c r="AA211" s="155" t="e">
        <f>IF(R211="-","",INDEX('Inventaire M-1'!$A$2:$AG$9334,MATCH(R211,'Inventaire M-1'!$A:$A,0)-1,MATCH("poids",'Inventaire M-1'!#REF!,0)))</f>
        <v>#REF!</v>
      </c>
      <c r="AB211" s="155" t="e">
        <f>IF(R211="-","",IF(ISERROR(INDEX('Inventaire M'!$A$2:$AD$9319,MATCH(R211,'Inventaire M'!$A:$A,0)-1,MATCH("poids",'Inventaire M'!#REF!,0))),"Sell",INDEX('Inventaire M'!$A$2:$AD$9319,MATCH(R211,'Inventaire M'!$A:$A,0)-1,MATCH("poids",'Inventaire M'!#REF!,0))))</f>
        <v>#REF!</v>
      </c>
      <c r="AC211" s="175"/>
      <c r="AD211" s="157" t="str">
        <f t="shared" si="18"/>
        <v>0</v>
      </c>
      <c r="AE211" s="98" t="str">
        <f t="shared" si="19"/>
        <v/>
      </c>
      <c r="AF211" s="80" t="e">
        <f t="shared" si="20"/>
        <v>#REF!</v>
      </c>
    </row>
    <row r="212" spans="2:32" outlineLevel="1">
      <c r="B212" s="175" t="e">
        <f>IF(OR('Inventaire M'!#REF!="Dispo/Liquidité Investie",'Inventaire M'!#REF!="Option/Future",'Inventaire M'!#REF!="TCN",'Inventaire M'!#REF!=""),"-",'Inventaire M'!#REF!)</f>
        <v>#REF!</v>
      </c>
      <c r="C212" s="175" t="e">
        <f>IF(OR('Inventaire M'!#REF!="Dispo/Liquidité Investie",'Inventaire M'!#REF!="Option/Future",'Inventaire M'!#REF!="TCN",'Inventaire M'!#REF!=""),"-",'Inventaire M'!#REF!)</f>
        <v>#REF!</v>
      </c>
      <c r="D212" s="175"/>
      <c r="E212" s="175" t="e">
        <f>IF(B212="-","",INDEX('Inventaire M'!$A$2:$AW$9305,MATCH(B212,'Inventaire M'!$A:$A,0)-1,MATCH("Cours EUR",'Inventaire M'!#REF!,0)))</f>
        <v>#REF!</v>
      </c>
      <c r="F212" s="175" t="e">
        <f>IF(B212="-","",IF(ISERROR(INDEX('Inventaire M-1'!$A$2:$AZ$9320,MATCH(B212,'Inventaire M-1'!$A:$A,0)-1,MATCH("Cours EUR",'Inventaire M-1'!#REF!,0))),"Buy",INDEX('Inventaire M-1'!$A$2:$AZ$9320,MATCH(B212,'Inventaire M-1'!$A:$A,0)-1,MATCH("Cours EUR",'Inventaire M-1'!#REF!,0))))</f>
        <v>#REF!</v>
      </c>
      <c r="G212" s="175"/>
      <c r="H212" s="156" t="e">
        <f>IF(B212="-","",INDEX('Inventaire M'!$A$2:$AW$9305,MATCH(B212,'Inventaire M'!$A:$A,0)-1,MATCH("quantite",'Inventaire M'!#REF!,0)))</f>
        <v>#REF!</v>
      </c>
      <c r="I212" s="156" t="e">
        <f>IF(C212="-","",IF(ISERROR(INDEX('Inventaire M-1'!$A$2:$AZ$9320,MATCH(B212,'Inventaire M-1'!$A:$A,0)-1,MATCH("quantite",'Inventaire M-1'!#REF!,0))),"Buy",INDEX('Inventaire M-1'!$A$2:$AZ$9320,MATCH(B212,'Inventaire M-1'!$A:$A,0)-1,MATCH("quantite",'Inventaire M-1'!#REF!,0))))</f>
        <v>#REF!</v>
      </c>
      <c r="J212" s="175"/>
      <c r="K212" s="155" t="e">
        <f>IF(B212="-","",INDEX('Inventaire M'!$A$2:$AW$9305,MATCH(B212,'Inventaire M'!$A:$A,0)-1,MATCH("poids",'Inventaire M'!#REF!,0)))</f>
        <v>#REF!</v>
      </c>
      <c r="L212" s="155" t="e">
        <f>IF(B212="-","",IF(ISERROR(INDEX('Inventaire M-1'!$A$2:$AZ$9320,MATCH(B212,'Inventaire M-1'!$A:$A,0)-1,MATCH("poids",'Inventaire M-1'!#REF!,0))),"Buy",INDEX('Inventaire M-1'!$A$2:$AZ$9320,MATCH(B212,'Inventaire M-1'!$A:$A,0)-1,MATCH("poids",'Inventaire M-1'!#REF!,0))))</f>
        <v>#REF!</v>
      </c>
      <c r="M212" s="175"/>
      <c r="N212" s="157" t="str">
        <f t="shared" si="21"/>
        <v>0</v>
      </c>
      <c r="O212" s="98" t="str">
        <f t="shared" si="22"/>
        <v/>
      </c>
      <c r="P212" s="80" t="e">
        <f t="shared" si="23"/>
        <v>#REF!</v>
      </c>
      <c r="Q212" s="75">
        <v>1.88E-8</v>
      </c>
      <c r="R212" s="175" t="e">
        <f>IF(OR('Inventaire M-1'!#REF!="Dispo/Liquidité Investie",'Inventaire M-1'!#REF!="Option/Future",'Inventaire M-1'!#REF!="TCN",'Inventaire M-1'!#REF!=""),"-",'Inventaire M-1'!#REF!)</f>
        <v>#REF!</v>
      </c>
      <c r="S212" s="175" t="e">
        <f>IF(OR('Inventaire M-1'!#REF!="Dispo/Liquidité Investie",'Inventaire M-1'!#REF!="Option/Future",'Inventaire M-1'!#REF!="TCN",'Inventaire M-1'!#REF!=""),"-",'Inventaire M-1'!#REF!)</f>
        <v>#REF!</v>
      </c>
      <c r="T212" s="175"/>
      <c r="U212" s="175" t="e">
        <f>IF(R212="-","",INDEX('Inventaire M-1'!$A$2:$AG$9334,MATCH(R212,'Inventaire M-1'!$A:$A,0)-1,MATCH("Cours EUR",'Inventaire M-1'!#REF!,0)))</f>
        <v>#REF!</v>
      </c>
      <c r="V212" s="175" t="e">
        <f>IF(R212="-","",IF(ISERROR(INDEX('Inventaire M'!$A$2:$AD$9319,MATCH(R212,'Inventaire M'!$A:$A,0)-1,MATCH("Cours EUR",'Inventaire M'!#REF!,0))),"Sell",INDEX('Inventaire M'!$A$2:$AD$9319,MATCH(R212,'Inventaire M'!$A:$A,0)-1,MATCH("Cours EUR",'Inventaire M'!#REF!,0))))</f>
        <v>#REF!</v>
      </c>
      <c r="W212" s="175"/>
      <c r="X212" s="156" t="e">
        <f>IF(R212="-","",INDEX('Inventaire M-1'!$A$2:$AG$9334,MATCH(R212,'Inventaire M-1'!$A:$A,0)-1,MATCH("quantite",'Inventaire M-1'!#REF!,0)))</f>
        <v>#REF!</v>
      </c>
      <c r="Y212" s="156" t="e">
        <f>IF(S212="-","",IF(ISERROR(INDEX('Inventaire M'!$A$2:$AD$9319,MATCH(R212,'Inventaire M'!$A:$A,0)-1,MATCH("quantite",'Inventaire M'!#REF!,0))),"Sell",INDEX('Inventaire M'!$A$2:$AD$9319,MATCH(R212,'Inventaire M'!$A:$A,0)-1,MATCH("quantite",'Inventaire M'!#REF!,0))))</f>
        <v>#REF!</v>
      </c>
      <c r="Z212" s="175"/>
      <c r="AA212" s="155" t="e">
        <f>IF(R212="-","",INDEX('Inventaire M-1'!$A$2:$AG$9334,MATCH(R212,'Inventaire M-1'!$A:$A,0)-1,MATCH("poids",'Inventaire M-1'!#REF!,0)))</f>
        <v>#REF!</v>
      </c>
      <c r="AB212" s="155" t="e">
        <f>IF(R212="-","",IF(ISERROR(INDEX('Inventaire M'!$A$2:$AD$9319,MATCH(R212,'Inventaire M'!$A:$A,0)-1,MATCH("poids",'Inventaire M'!#REF!,0))),"Sell",INDEX('Inventaire M'!$A$2:$AD$9319,MATCH(R212,'Inventaire M'!$A:$A,0)-1,MATCH("poids",'Inventaire M'!#REF!,0))))</f>
        <v>#REF!</v>
      </c>
      <c r="AC212" s="175"/>
      <c r="AD212" s="157" t="str">
        <f t="shared" si="18"/>
        <v>0</v>
      </c>
      <c r="AE212" s="98" t="str">
        <f t="shared" si="19"/>
        <v/>
      </c>
      <c r="AF212" s="80" t="e">
        <f t="shared" si="20"/>
        <v>#REF!</v>
      </c>
    </row>
    <row r="213" spans="2:32" outlineLevel="1">
      <c r="B213" s="175" t="e">
        <f>IF(OR('Inventaire M'!#REF!="Dispo/Liquidité Investie",'Inventaire M'!#REF!="Option/Future",'Inventaire M'!#REF!="TCN",'Inventaire M'!#REF!=""),"-",'Inventaire M'!#REF!)</f>
        <v>#REF!</v>
      </c>
      <c r="C213" s="175" t="e">
        <f>IF(OR('Inventaire M'!#REF!="Dispo/Liquidité Investie",'Inventaire M'!#REF!="Option/Future",'Inventaire M'!#REF!="TCN",'Inventaire M'!#REF!=""),"-",'Inventaire M'!#REF!)</f>
        <v>#REF!</v>
      </c>
      <c r="D213" s="175"/>
      <c r="E213" s="175" t="e">
        <f>IF(B213="-","",INDEX('Inventaire M'!$A$2:$AW$9305,MATCH(B213,'Inventaire M'!$A:$A,0)-1,MATCH("Cours EUR",'Inventaire M'!#REF!,0)))</f>
        <v>#REF!</v>
      </c>
      <c r="F213" s="175" t="e">
        <f>IF(B213="-","",IF(ISERROR(INDEX('Inventaire M-1'!$A$2:$AZ$9320,MATCH(B213,'Inventaire M-1'!$A:$A,0)-1,MATCH("Cours EUR",'Inventaire M-1'!#REF!,0))),"Buy",INDEX('Inventaire M-1'!$A$2:$AZ$9320,MATCH(B213,'Inventaire M-1'!$A:$A,0)-1,MATCH("Cours EUR",'Inventaire M-1'!#REF!,0))))</f>
        <v>#REF!</v>
      </c>
      <c r="G213" s="175"/>
      <c r="H213" s="156" t="e">
        <f>IF(B213="-","",INDEX('Inventaire M'!$A$2:$AW$9305,MATCH(B213,'Inventaire M'!$A:$A,0)-1,MATCH("quantite",'Inventaire M'!#REF!,0)))</f>
        <v>#REF!</v>
      </c>
      <c r="I213" s="156" t="e">
        <f>IF(C213="-","",IF(ISERROR(INDEX('Inventaire M-1'!$A$2:$AZ$9320,MATCH(B213,'Inventaire M-1'!$A:$A,0)-1,MATCH("quantite",'Inventaire M-1'!#REF!,0))),"Buy",INDEX('Inventaire M-1'!$A$2:$AZ$9320,MATCH(B213,'Inventaire M-1'!$A:$A,0)-1,MATCH("quantite",'Inventaire M-1'!#REF!,0))))</f>
        <v>#REF!</v>
      </c>
      <c r="J213" s="175"/>
      <c r="K213" s="155" t="e">
        <f>IF(B213="-","",INDEX('Inventaire M'!$A$2:$AW$9305,MATCH(B213,'Inventaire M'!$A:$A,0)-1,MATCH("poids",'Inventaire M'!#REF!,0)))</f>
        <v>#REF!</v>
      </c>
      <c r="L213" s="155" t="e">
        <f>IF(B213="-","",IF(ISERROR(INDEX('Inventaire M-1'!$A$2:$AZ$9320,MATCH(B213,'Inventaire M-1'!$A:$A,0)-1,MATCH("poids",'Inventaire M-1'!#REF!,0))),"Buy",INDEX('Inventaire M-1'!$A$2:$AZ$9320,MATCH(B213,'Inventaire M-1'!$A:$A,0)-1,MATCH("poids",'Inventaire M-1'!#REF!,0))))</f>
        <v>#REF!</v>
      </c>
      <c r="M213" s="175"/>
      <c r="N213" s="157" t="str">
        <f t="shared" si="21"/>
        <v>0</v>
      </c>
      <c r="O213" s="98" t="str">
        <f t="shared" si="22"/>
        <v/>
      </c>
      <c r="P213" s="80" t="e">
        <f t="shared" si="23"/>
        <v>#REF!</v>
      </c>
      <c r="Q213" s="75">
        <v>1.89E-8</v>
      </c>
      <c r="R213" s="175" t="e">
        <f>IF(OR('Inventaire M-1'!#REF!="Dispo/Liquidité Investie",'Inventaire M-1'!#REF!="Option/Future",'Inventaire M-1'!#REF!="TCN",'Inventaire M-1'!#REF!=""),"-",'Inventaire M-1'!#REF!)</f>
        <v>#REF!</v>
      </c>
      <c r="S213" s="175" t="e">
        <f>IF(OR('Inventaire M-1'!#REF!="Dispo/Liquidité Investie",'Inventaire M-1'!#REF!="Option/Future",'Inventaire M-1'!#REF!="TCN",'Inventaire M-1'!#REF!=""),"-",'Inventaire M-1'!#REF!)</f>
        <v>#REF!</v>
      </c>
      <c r="T213" s="175"/>
      <c r="U213" s="175" t="e">
        <f>IF(R213="-","",INDEX('Inventaire M-1'!$A$2:$AG$9334,MATCH(R213,'Inventaire M-1'!$A:$A,0)-1,MATCH("Cours EUR",'Inventaire M-1'!#REF!,0)))</f>
        <v>#REF!</v>
      </c>
      <c r="V213" s="175" t="e">
        <f>IF(R213="-","",IF(ISERROR(INDEX('Inventaire M'!$A$2:$AD$9319,MATCH(R213,'Inventaire M'!$A:$A,0)-1,MATCH("Cours EUR",'Inventaire M'!#REF!,0))),"Sell",INDEX('Inventaire M'!$A$2:$AD$9319,MATCH(R213,'Inventaire M'!$A:$A,0)-1,MATCH("Cours EUR",'Inventaire M'!#REF!,0))))</f>
        <v>#REF!</v>
      </c>
      <c r="W213" s="175"/>
      <c r="X213" s="156" t="e">
        <f>IF(R213="-","",INDEX('Inventaire M-1'!$A$2:$AG$9334,MATCH(R213,'Inventaire M-1'!$A:$A,0)-1,MATCH("quantite",'Inventaire M-1'!#REF!,0)))</f>
        <v>#REF!</v>
      </c>
      <c r="Y213" s="156" t="e">
        <f>IF(S213="-","",IF(ISERROR(INDEX('Inventaire M'!$A$2:$AD$9319,MATCH(R213,'Inventaire M'!$A:$A,0)-1,MATCH("quantite",'Inventaire M'!#REF!,0))),"Sell",INDEX('Inventaire M'!$A$2:$AD$9319,MATCH(R213,'Inventaire M'!$A:$A,0)-1,MATCH("quantite",'Inventaire M'!#REF!,0))))</f>
        <v>#REF!</v>
      </c>
      <c r="Z213" s="175"/>
      <c r="AA213" s="155" t="e">
        <f>IF(R213="-","",INDEX('Inventaire M-1'!$A$2:$AG$9334,MATCH(R213,'Inventaire M-1'!$A:$A,0)-1,MATCH("poids",'Inventaire M-1'!#REF!,0)))</f>
        <v>#REF!</v>
      </c>
      <c r="AB213" s="155" t="e">
        <f>IF(R213="-","",IF(ISERROR(INDEX('Inventaire M'!$A$2:$AD$9319,MATCH(R213,'Inventaire M'!$A:$A,0)-1,MATCH("poids",'Inventaire M'!#REF!,0))),"Sell",INDEX('Inventaire M'!$A$2:$AD$9319,MATCH(R213,'Inventaire M'!$A:$A,0)-1,MATCH("poids",'Inventaire M'!#REF!,0))))</f>
        <v>#REF!</v>
      </c>
      <c r="AC213" s="175"/>
      <c r="AD213" s="157" t="str">
        <f t="shared" si="18"/>
        <v>0</v>
      </c>
      <c r="AE213" s="98" t="str">
        <f t="shared" si="19"/>
        <v/>
      </c>
      <c r="AF213" s="80" t="e">
        <f t="shared" si="20"/>
        <v>#REF!</v>
      </c>
    </row>
    <row r="214" spans="2:32" outlineLevel="1">
      <c r="B214" s="175" t="e">
        <f>IF(OR('Inventaire M'!#REF!="Dispo/Liquidité Investie",'Inventaire M'!#REF!="Option/Future",'Inventaire M'!#REF!="TCN",'Inventaire M'!#REF!=""),"-",'Inventaire M'!#REF!)</f>
        <v>#REF!</v>
      </c>
      <c r="C214" s="175" t="e">
        <f>IF(OR('Inventaire M'!#REF!="Dispo/Liquidité Investie",'Inventaire M'!#REF!="Option/Future",'Inventaire M'!#REF!="TCN",'Inventaire M'!#REF!=""),"-",'Inventaire M'!#REF!)</f>
        <v>#REF!</v>
      </c>
      <c r="D214" s="175"/>
      <c r="E214" s="175" t="e">
        <f>IF(B214="-","",INDEX('Inventaire M'!$A$2:$AW$9305,MATCH(B214,'Inventaire M'!$A:$A,0)-1,MATCH("Cours EUR",'Inventaire M'!#REF!,0)))</f>
        <v>#REF!</v>
      </c>
      <c r="F214" s="175" t="e">
        <f>IF(B214="-","",IF(ISERROR(INDEX('Inventaire M-1'!$A$2:$AZ$9320,MATCH(B214,'Inventaire M-1'!$A:$A,0)-1,MATCH("Cours EUR",'Inventaire M-1'!#REF!,0))),"Buy",INDEX('Inventaire M-1'!$A$2:$AZ$9320,MATCH(B214,'Inventaire M-1'!$A:$A,0)-1,MATCH("Cours EUR",'Inventaire M-1'!#REF!,0))))</f>
        <v>#REF!</v>
      </c>
      <c r="G214" s="175"/>
      <c r="H214" s="156" t="e">
        <f>IF(B214="-","",INDEX('Inventaire M'!$A$2:$AW$9305,MATCH(B214,'Inventaire M'!$A:$A,0)-1,MATCH("quantite",'Inventaire M'!#REF!,0)))</f>
        <v>#REF!</v>
      </c>
      <c r="I214" s="156" t="e">
        <f>IF(C214="-","",IF(ISERROR(INDEX('Inventaire M-1'!$A$2:$AZ$9320,MATCH(B214,'Inventaire M-1'!$A:$A,0)-1,MATCH("quantite",'Inventaire M-1'!#REF!,0))),"Buy",INDEX('Inventaire M-1'!$A$2:$AZ$9320,MATCH(B214,'Inventaire M-1'!$A:$A,0)-1,MATCH("quantite",'Inventaire M-1'!#REF!,0))))</f>
        <v>#REF!</v>
      </c>
      <c r="J214" s="175"/>
      <c r="K214" s="155" t="e">
        <f>IF(B214="-","",INDEX('Inventaire M'!$A$2:$AW$9305,MATCH(B214,'Inventaire M'!$A:$A,0)-1,MATCH("poids",'Inventaire M'!#REF!,0)))</f>
        <v>#REF!</v>
      </c>
      <c r="L214" s="155" t="e">
        <f>IF(B214="-","",IF(ISERROR(INDEX('Inventaire M-1'!$A$2:$AZ$9320,MATCH(B214,'Inventaire M-1'!$A:$A,0)-1,MATCH("poids",'Inventaire M-1'!#REF!,0))),"Buy",INDEX('Inventaire M-1'!$A$2:$AZ$9320,MATCH(B214,'Inventaire M-1'!$A:$A,0)-1,MATCH("poids",'Inventaire M-1'!#REF!,0))))</f>
        <v>#REF!</v>
      </c>
      <c r="M214" s="175"/>
      <c r="N214" s="157" t="str">
        <f t="shared" si="21"/>
        <v>0</v>
      </c>
      <c r="O214" s="98" t="str">
        <f t="shared" si="22"/>
        <v/>
      </c>
      <c r="P214" s="80" t="e">
        <f t="shared" si="23"/>
        <v>#REF!</v>
      </c>
      <c r="Q214" s="75">
        <v>1.9000000000000001E-8</v>
      </c>
      <c r="R214" s="175" t="e">
        <f>IF(OR('Inventaire M-1'!#REF!="Dispo/Liquidité Investie",'Inventaire M-1'!#REF!="Option/Future",'Inventaire M-1'!#REF!="TCN",'Inventaire M-1'!#REF!=""),"-",'Inventaire M-1'!#REF!)</f>
        <v>#REF!</v>
      </c>
      <c r="S214" s="175" t="e">
        <f>IF(OR('Inventaire M-1'!#REF!="Dispo/Liquidité Investie",'Inventaire M-1'!#REF!="Option/Future",'Inventaire M-1'!#REF!="TCN",'Inventaire M-1'!#REF!=""),"-",'Inventaire M-1'!#REF!)</f>
        <v>#REF!</v>
      </c>
      <c r="T214" s="175"/>
      <c r="U214" s="175" t="e">
        <f>IF(R214="-","",INDEX('Inventaire M-1'!$A$2:$AG$9334,MATCH(R214,'Inventaire M-1'!$A:$A,0)-1,MATCH("Cours EUR",'Inventaire M-1'!#REF!,0)))</f>
        <v>#REF!</v>
      </c>
      <c r="V214" s="175" t="e">
        <f>IF(R214="-","",IF(ISERROR(INDEX('Inventaire M'!$A$2:$AD$9319,MATCH(R214,'Inventaire M'!$A:$A,0)-1,MATCH("Cours EUR",'Inventaire M'!#REF!,0))),"Sell",INDEX('Inventaire M'!$A$2:$AD$9319,MATCH(R214,'Inventaire M'!$A:$A,0)-1,MATCH("Cours EUR",'Inventaire M'!#REF!,0))))</f>
        <v>#REF!</v>
      </c>
      <c r="W214" s="175"/>
      <c r="X214" s="156" t="e">
        <f>IF(R214="-","",INDEX('Inventaire M-1'!$A$2:$AG$9334,MATCH(R214,'Inventaire M-1'!$A:$A,0)-1,MATCH("quantite",'Inventaire M-1'!#REF!,0)))</f>
        <v>#REF!</v>
      </c>
      <c r="Y214" s="156" t="e">
        <f>IF(S214="-","",IF(ISERROR(INDEX('Inventaire M'!$A$2:$AD$9319,MATCH(R214,'Inventaire M'!$A:$A,0)-1,MATCH("quantite",'Inventaire M'!#REF!,0))),"Sell",INDEX('Inventaire M'!$A$2:$AD$9319,MATCH(R214,'Inventaire M'!$A:$A,0)-1,MATCH("quantite",'Inventaire M'!#REF!,0))))</f>
        <v>#REF!</v>
      </c>
      <c r="Z214" s="175"/>
      <c r="AA214" s="155" t="e">
        <f>IF(R214="-","",INDEX('Inventaire M-1'!$A$2:$AG$9334,MATCH(R214,'Inventaire M-1'!$A:$A,0)-1,MATCH("poids",'Inventaire M-1'!#REF!,0)))</f>
        <v>#REF!</v>
      </c>
      <c r="AB214" s="155" t="e">
        <f>IF(R214="-","",IF(ISERROR(INDEX('Inventaire M'!$A$2:$AD$9319,MATCH(R214,'Inventaire M'!$A:$A,0)-1,MATCH("poids",'Inventaire M'!#REF!,0))),"Sell",INDEX('Inventaire M'!$A$2:$AD$9319,MATCH(R214,'Inventaire M'!$A:$A,0)-1,MATCH("poids",'Inventaire M'!#REF!,0))))</f>
        <v>#REF!</v>
      </c>
      <c r="AC214" s="175"/>
      <c r="AD214" s="157" t="str">
        <f t="shared" si="18"/>
        <v>0</v>
      </c>
      <c r="AE214" s="98" t="str">
        <f t="shared" si="19"/>
        <v/>
      </c>
      <c r="AF214" s="80" t="e">
        <f t="shared" si="20"/>
        <v>#REF!</v>
      </c>
    </row>
    <row r="215" spans="2:32" outlineLevel="1">
      <c r="B215" s="175" t="e">
        <f>IF(OR('Inventaire M'!#REF!="Dispo/Liquidité Investie",'Inventaire M'!#REF!="Option/Future",'Inventaire M'!#REF!="TCN",'Inventaire M'!#REF!=""),"-",'Inventaire M'!#REF!)</f>
        <v>#REF!</v>
      </c>
      <c r="C215" s="175" t="e">
        <f>IF(OR('Inventaire M'!#REF!="Dispo/Liquidité Investie",'Inventaire M'!#REF!="Option/Future",'Inventaire M'!#REF!="TCN",'Inventaire M'!#REF!=""),"-",'Inventaire M'!#REF!)</f>
        <v>#REF!</v>
      </c>
      <c r="D215" s="175"/>
      <c r="E215" s="175" t="e">
        <f>IF(B215="-","",INDEX('Inventaire M'!$A$2:$AW$9305,MATCH(B215,'Inventaire M'!$A:$A,0)-1,MATCH("Cours EUR",'Inventaire M'!#REF!,0)))</f>
        <v>#REF!</v>
      </c>
      <c r="F215" s="175" t="e">
        <f>IF(B215="-","",IF(ISERROR(INDEX('Inventaire M-1'!$A$2:$AZ$9320,MATCH(B215,'Inventaire M-1'!$A:$A,0)-1,MATCH("Cours EUR",'Inventaire M-1'!#REF!,0))),"Buy",INDEX('Inventaire M-1'!$A$2:$AZ$9320,MATCH(B215,'Inventaire M-1'!$A:$A,0)-1,MATCH("Cours EUR",'Inventaire M-1'!#REF!,0))))</f>
        <v>#REF!</v>
      </c>
      <c r="G215" s="175"/>
      <c r="H215" s="156" t="e">
        <f>IF(B215="-","",INDEX('Inventaire M'!$A$2:$AW$9305,MATCH(B215,'Inventaire M'!$A:$A,0)-1,MATCH("quantite",'Inventaire M'!#REF!,0)))</f>
        <v>#REF!</v>
      </c>
      <c r="I215" s="156" t="e">
        <f>IF(C215="-","",IF(ISERROR(INDEX('Inventaire M-1'!$A$2:$AZ$9320,MATCH(B215,'Inventaire M-1'!$A:$A,0)-1,MATCH("quantite",'Inventaire M-1'!#REF!,0))),"Buy",INDEX('Inventaire M-1'!$A$2:$AZ$9320,MATCH(B215,'Inventaire M-1'!$A:$A,0)-1,MATCH("quantite",'Inventaire M-1'!#REF!,0))))</f>
        <v>#REF!</v>
      </c>
      <c r="J215" s="175"/>
      <c r="K215" s="155" t="e">
        <f>IF(B215="-","",INDEX('Inventaire M'!$A$2:$AW$9305,MATCH(B215,'Inventaire M'!$A:$A,0)-1,MATCH("poids",'Inventaire M'!#REF!,0)))</f>
        <v>#REF!</v>
      </c>
      <c r="L215" s="155" t="e">
        <f>IF(B215="-","",IF(ISERROR(INDEX('Inventaire M-1'!$A$2:$AZ$9320,MATCH(B215,'Inventaire M-1'!$A:$A,0)-1,MATCH("poids",'Inventaire M-1'!#REF!,0))),"Buy",INDEX('Inventaire M-1'!$A$2:$AZ$9320,MATCH(B215,'Inventaire M-1'!$A:$A,0)-1,MATCH("poids",'Inventaire M-1'!#REF!,0))))</f>
        <v>#REF!</v>
      </c>
      <c r="M215" s="175"/>
      <c r="N215" s="157" t="str">
        <f t="shared" si="21"/>
        <v>0</v>
      </c>
      <c r="O215" s="98" t="str">
        <f t="shared" si="22"/>
        <v/>
      </c>
      <c r="P215" s="80" t="e">
        <f t="shared" si="23"/>
        <v>#REF!</v>
      </c>
      <c r="Q215" s="75">
        <v>1.9099999999999999E-8</v>
      </c>
      <c r="R215" s="175" t="e">
        <f>IF(OR('Inventaire M-1'!#REF!="Dispo/Liquidité Investie",'Inventaire M-1'!#REF!="Option/Future",'Inventaire M-1'!#REF!="TCN",'Inventaire M-1'!#REF!=""),"-",'Inventaire M-1'!#REF!)</f>
        <v>#REF!</v>
      </c>
      <c r="S215" s="175" t="e">
        <f>IF(OR('Inventaire M-1'!#REF!="Dispo/Liquidité Investie",'Inventaire M-1'!#REF!="Option/Future",'Inventaire M-1'!#REF!="TCN",'Inventaire M-1'!#REF!=""),"-",'Inventaire M-1'!#REF!)</f>
        <v>#REF!</v>
      </c>
      <c r="T215" s="175"/>
      <c r="U215" s="175" t="e">
        <f>IF(R215="-","",INDEX('Inventaire M-1'!$A$2:$AG$9334,MATCH(R215,'Inventaire M-1'!$A:$A,0)-1,MATCH("Cours EUR",'Inventaire M-1'!#REF!,0)))</f>
        <v>#REF!</v>
      </c>
      <c r="V215" s="175" t="e">
        <f>IF(R215="-","",IF(ISERROR(INDEX('Inventaire M'!$A$2:$AD$9319,MATCH(R215,'Inventaire M'!$A:$A,0)-1,MATCH("Cours EUR",'Inventaire M'!#REF!,0))),"Sell",INDEX('Inventaire M'!$A$2:$AD$9319,MATCH(R215,'Inventaire M'!$A:$A,0)-1,MATCH("Cours EUR",'Inventaire M'!#REF!,0))))</f>
        <v>#REF!</v>
      </c>
      <c r="W215" s="175"/>
      <c r="X215" s="156" t="e">
        <f>IF(R215="-","",INDEX('Inventaire M-1'!$A$2:$AG$9334,MATCH(R215,'Inventaire M-1'!$A:$A,0)-1,MATCH("quantite",'Inventaire M-1'!#REF!,0)))</f>
        <v>#REF!</v>
      </c>
      <c r="Y215" s="156" t="e">
        <f>IF(S215="-","",IF(ISERROR(INDEX('Inventaire M'!$A$2:$AD$9319,MATCH(R215,'Inventaire M'!$A:$A,0)-1,MATCH("quantite",'Inventaire M'!#REF!,0))),"Sell",INDEX('Inventaire M'!$A$2:$AD$9319,MATCH(R215,'Inventaire M'!$A:$A,0)-1,MATCH("quantite",'Inventaire M'!#REF!,0))))</f>
        <v>#REF!</v>
      </c>
      <c r="Z215" s="175"/>
      <c r="AA215" s="155" t="e">
        <f>IF(R215="-","",INDEX('Inventaire M-1'!$A$2:$AG$9334,MATCH(R215,'Inventaire M-1'!$A:$A,0)-1,MATCH("poids",'Inventaire M-1'!#REF!,0)))</f>
        <v>#REF!</v>
      </c>
      <c r="AB215" s="155" t="e">
        <f>IF(R215="-","",IF(ISERROR(INDEX('Inventaire M'!$A$2:$AD$9319,MATCH(R215,'Inventaire M'!$A:$A,0)-1,MATCH("poids",'Inventaire M'!#REF!,0))),"Sell",INDEX('Inventaire M'!$A$2:$AD$9319,MATCH(R215,'Inventaire M'!$A:$A,0)-1,MATCH("poids",'Inventaire M'!#REF!,0))))</f>
        <v>#REF!</v>
      </c>
      <c r="AC215" s="175"/>
      <c r="AD215" s="157" t="str">
        <f t="shared" si="18"/>
        <v>0</v>
      </c>
      <c r="AE215" s="98" t="str">
        <f t="shared" si="19"/>
        <v/>
      </c>
      <c r="AF215" s="80" t="e">
        <f t="shared" si="20"/>
        <v>#REF!</v>
      </c>
    </row>
    <row r="216" spans="2:32" outlineLevel="1">
      <c r="B216" s="175" t="e">
        <f>IF(OR('Inventaire M'!#REF!="Dispo/Liquidité Investie",'Inventaire M'!#REF!="Option/Future",'Inventaire M'!#REF!="TCN",'Inventaire M'!#REF!=""),"-",'Inventaire M'!#REF!)</f>
        <v>#REF!</v>
      </c>
      <c r="C216" s="175" t="e">
        <f>IF(OR('Inventaire M'!#REF!="Dispo/Liquidité Investie",'Inventaire M'!#REF!="Option/Future",'Inventaire M'!#REF!="TCN",'Inventaire M'!#REF!=""),"-",'Inventaire M'!#REF!)</f>
        <v>#REF!</v>
      </c>
      <c r="D216" s="175"/>
      <c r="E216" s="175" t="e">
        <f>IF(B216="-","",INDEX('Inventaire M'!$A$2:$AW$9305,MATCH(B216,'Inventaire M'!$A:$A,0)-1,MATCH("Cours EUR",'Inventaire M'!#REF!,0)))</f>
        <v>#REF!</v>
      </c>
      <c r="F216" s="175" t="e">
        <f>IF(B216="-","",IF(ISERROR(INDEX('Inventaire M-1'!$A$2:$AZ$9320,MATCH(B216,'Inventaire M-1'!$A:$A,0)-1,MATCH("Cours EUR",'Inventaire M-1'!#REF!,0))),"Buy",INDEX('Inventaire M-1'!$A$2:$AZ$9320,MATCH(B216,'Inventaire M-1'!$A:$A,0)-1,MATCH("Cours EUR",'Inventaire M-1'!#REF!,0))))</f>
        <v>#REF!</v>
      </c>
      <c r="G216" s="175"/>
      <c r="H216" s="156" t="e">
        <f>IF(B216="-","",INDEX('Inventaire M'!$A$2:$AW$9305,MATCH(B216,'Inventaire M'!$A:$A,0)-1,MATCH("quantite",'Inventaire M'!#REF!,0)))</f>
        <v>#REF!</v>
      </c>
      <c r="I216" s="156" t="e">
        <f>IF(C216="-","",IF(ISERROR(INDEX('Inventaire M-1'!$A$2:$AZ$9320,MATCH(B216,'Inventaire M-1'!$A:$A,0)-1,MATCH("quantite",'Inventaire M-1'!#REF!,0))),"Buy",INDEX('Inventaire M-1'!$A$2:$AZ$9320,MATCH(B216,'Inventaire M-1'!$A:$A,0)-1,MATCH("quantite",'Inventaire M-1'!#REF!,0))))</f>
        <v>#REF!</v>
      </c>
      <c r="J216" s="175"/>
      <c r="K216" s="155" t="e">
        <f>IF(B216="-","",INDEX('Inventaire M'!$A$2:$AW$9305,MATCH(B216,'Inventaire M'!$A:$A,0)-1,MATCH("poids",'Inventaire M'!#REF!,0)))</f>
        <v>#REF!</v>
      </c>
      <c r="L216" s="155" t="e">
        <f>IF(B216="-","",IF(ISERROR(INDEX('Inventaire M-1'!$A$2:$AZ$9320,MATCH(B216,'Inventaire M-1'!$A:$A,0)-1,MATCH("poids",'Inventaire M-1'!#REF!,0))),"Buy",INDEX('Inventaire M-1'!$A$2:$AZ$9320,MATCH(B216,'Inventaire M-1'!$A:$A,0)-1,MATCH("poids",'Inventaire M-1'!#REF!,0))))</f>
        <v>#REF!</v>
      </c>
      <c r="M216" s="175"/>
      <c r="N216" s="157" t="str">
        <f t="shared" si="21"/>
        <v>0</v>
      </c>
      <c r="O216" s="98" t="str">
        <f t="shared" si="22"/>
        <v/>
      </c>
      <c r="P216" s="80" t="e">
        <f t="shared" si="23"/>
        <v>#REF!</v>
      </c>
      <c r="Q216" s="75">
        <v>1.92E-8</v>
      </c>
      <c r="R216" s="175" t="e">
        <f>IF(OR('Inventaire M-1'!#REF!="Dispo/Liquidité Investie",'Inventaire M-1'!#REF!="Option/Future",'Inventaire M-1'!#REF!="TCN",'Inventaire M-1'!#REF!=""),"-",'Inventaire M-1'!#REF!)</f>
        <v>#REF!</v>
      </c>
      <c r="S216" s="175" t="e">
        <f>IF(OR('Inventaire M-1'!#REF!="Dispo/Liquidité Investie",'Inventaire M-1'!#REF!="Option/Future",'Inventaire M-1'!#REF!="TCN",'Inventaire M-1'!#REF!=""),"-",'Inventaire M-1'!#REF!)</f>
        <v>#REF!</v>
      </c>
      <c r="T216" s="175"/>
      <c r="U216" s="175" t="e">
        <f>IF(R216="-","",INDEX('Inventaire M-1'!$A$2:$AG$9334,MATCH(R216,'Inventaire M-1'!$A:$A,0)-1,MATCH("Cours EUR",'Inventaire M-1'!#REF!,0)))</f>
        <v>#REF!</v>
      </c>
      <c r="V216" s="175" t="e">
        <f>IF(R216="-","",IF(ISERROR(INDEX('Inventaire M'!$A$2:$AD$9319,MATCH(R216,'Inventaire M'!$A:$A,0)-1,MATCH("Cours EUR",'Inventaire M'!#REF!,0))),"Sell",INDEX('Inventaire M'!$A$2:$AD$9319,MATCH(R216,'Inventaire M'!$A:$A,0)-1,MATCH("Cours EUR",'Inventaire M'!#REF!,0))))</f>
        <v>#REF!</v>
      </c>
      <c r="W216" s="175"/>
      <c r="X216" s="156" t="e">
        <f>IF(R216="-","",INDEX('Inventaire M-1'!$A$2:$AG$9334,MATCH(R216,'Inventaire M-1'!$A:$A,0)-1,MATCH("quantite",'Inventaire M-1'!#REF!,0)))</f>
        <v>#REF!</v>
      </c>
      <c r="Y216" s="156" t="e">
        <f>IF(S216="-","",IF(ISERROR(INDEX('Inventaire M'!$A$2:$AD$9319,MATCH(R216,'Inventaire M'!$A:$A,0)-1,MATCH("quantite",'Inventaire M'!#REF!,0))),"Sell",INDEX('Inventaire M'!$A$2:$AD$9319,MATCH(R216,'Inventaire M'!$A:$A,0)-1,MATCH("quantite",'Inventaire M'!#REF!,0))))</f>
        <v>#REF!</v>
      </c>
      <c r="Z216" s="175"/>
      <c r="AA216" s="155" t="e">
        <f>IF(R216="-","",INDEX('Inventaire M-1'!$A$2:$AG$9334,MATCH(R216,'Inventaire M-1'!$A:$A,0)-1,MATCH("poids",'Inventaire M-1'!#REF!,0)))</f>
        <v>#REF!</v>
      </c>
      <c r="AB216" s="155" t="e">
        <f>IF(R216="-","",IF(ISERROR(INDEX('Inventaire M'!$A$2:$AD$9319,MATCH(R216,'Inventaire M'!$A:$A,0)-1,MATCH("poids",'Inventaire M'!#REF!,0))),"Sell",INDEX('Inventaire M'!$A$2:$AD$9319,MATCH(R216,'Inventaire M'!$A:$A,0)-1,MATCH("poids",'Inventaire M'!#REF!,0))))</f>
        <v>#REF!</v>
      </c>
      <c r="AC216" s="175"/>
      <c r="AD216" s="157" t="str">
        <f t="shared" si="18"/>
        <v>0</v>
      </c>
      <c r="AE216" s="98" t="str">
        <f t="shared" si="19"/>
        <v/>
      </c>
      <c r="AF216" s="80" t="e">
        <f t="shared" si="20"/>
        <v>#REF!</v>
      </c>
    </row>
    <row r="217" spans="2:32" outlineLevel="1">
      <c r="B217" s="175" t="e">
        <f>IF(OR('Inventaire M'!#REF!="Dispo/Liquidité Investie",'Inventaire M'!#REF!="Option/Future",'Inventaire M'!#REF!="TCN",'Inventaire M'!#REF!=""),"-",'Inventaire M'!#REF!)</f>
        <v>#REF!</v>
      </c>
      <c r="C217" s="175" t="e">
        <f>IF(OR('Inventaire M'!#REF!="Dispo/Liquidité Investie",'Inventaire M'!#REF!="Option/Future",'Inventaire M'!#REF!="TCN",'Inventaire M'!#REF!=""),"-",'Inventaire M'!#REF!)</f>
        <v>#REF!</v>
      </c>
      <c r="D217" s="175"/>
      <c r="E217" s="175" t="e">
        <f>IF(B217="-","",INDEX('Inventaire M'!$A$2:$AW$9305,MATCH(B217,'Inventaire M'!$A:$A,0)-1,MATCH("Cours EUR",'Inventaire M'!#REF!,0)))</f>
        <v>#REF!</v>
      </c>
      <c r="F217" s="175" t="e">
        <f>IF(B217="-","",IF(ISERROR(INDEX('Inventaire M-1'!$A$2:$AZ$9320,MATCH(B217,'Inventaire M-1'!$A:$A,0)-1,MATCH("Cours EUR",'Inventaire M-1'!#REF!,0))),"Buy",INDEX('Inventaire M-1'!$A$2:$AZ$9320,MATCH(B217,'Inventaire M-1'!$A:$A,0)-1,MATCH("Cours EUR",'Inventaire M-1'!#REF!,0))))</f>
        <v>#REF!</v>
      </c>
      <c r="G217" s="175"/>
      <c r="H217" s="156" t="e">
        <f>IF(B217="-","",INDEX('Inventaire M'!$A$2:$AW$9305,MATCH(B217,'Inventaire M'!$A:$A,0)-1,MATCH("quantite",'Inventaire M'!#REF!,0)))</f>
        <v>#REF!</v>
      </c>
      <c r="I217" s="156" t="e">
        <f>IF(C217="-","",IF(ISERROR(INDEX('Inventaire M-1'!$A$2:$AZ$9320,MATCH(B217,'Inventaire M-1'!$A:$A,0)-1,MATCH("quantite",'Inventaire M-1'!#REF!,0))),"Buy",INDEX('Inventaire M-1'!$A$2:$AZ$9320,MATCH(B217,'Inventaire M-1'!$A:$A,0)-1,MATCH("quantite",'Inventaire M-1'!#REF!,0))))</f>
        <v>#REF!</v>
      </c>
      <c r="J217" s="175"/>
      <c r="K217" s="155" t="e">
        <f>IF(B217="-","",INDEX('Inventaire M'!$A$2:$AW$9305,MATCH(B217,'Inventaire M'!$A:$A,0)-1,MATCH("poids",'Inventaire M'!#REF!,0)))</f>
        <v>#REF!</v>
      </c>
      <c r="L217" s="155" t="e">
        <f>IF(B217="-","",IF(ISERROR(INDEX('Inventaire M-1'!$A$2:$AZ$9320,MATCH(B217,'Inventaire M-1'!$A:$A,0)-1,MATCH("poids",'Inventaire M-1'!#REF!,0))),"Buy",INDEX('Inventaire M-1'!$A$2:$AZ$9320,MATCH(B217,'Inventaire M-1'!$A:$A,0)-1,MATCH("poids",'Inventaire M-1'!#REF!,0))))</f>
        <v>#REF!</v>
      </c>
      <c r="M217" s="175"/>
      <c r="N217" s="157" t="str">
        <f t="shared" si="21"/>
        <v>0</v>
      </c>
      <c r="O217" s="98" t="str">
        <f t="shared" si="22"/>
        <v/>
      </c>
      <c r="P217" s="80" t="e">
        <f t="shared" si="23"/>
        <v>#REF!</v>
      </c>
      <c r="Q217" s="75">
        <v>1.9300000000000001E-8</v>
      </c>
      <c r="R217" s="175" t="e">
        <f>IF(OR('Inventaire M-1'!#REF!="Dispo/Liquidité Investie",'Inventaire M-1'!#REF!="Option/Future",'Inventaire M-1'!#REF!="TCN",'Inventaire M-1'!#REF!=""),"-",'Inventaire M-1'!#REF!)</f>
        <v>#REF!</v>
      </c>
      <c r="S217" s="175" t="e">
        <f>IF(OR('Inventaire M-1'!#REF!="Dispo/Liquidité Investie",'Inventaire M-1'!#REF!="Option/Future",'Inventaire M-1'!#REF!="TCN",'Inventaire M-1'!#REF!=""),"-",'Inventaire M-1'!#REF!)</f>
        <v>#REF!</v>
      </c>
      <c r="T217" s="175"/>
      <c r="U217" s="175" t="e">
        <f>IF(R217="-","",INDEX('Inventaire M-1'!$A$2:$AG$9334,MATCH(R217,'Inventaire M-1'!$A:$A,0)-1,MATCH("Cours EUR",'Inventaire M-1'!#REF!,0)))</f>
        <v>#REF!</v>
      </c>
      <c r="V217" s="175" t="e">
        <f>IF(R217="-","",IF(ISERROR(INDEX('Inventaire M'!$A$2:$AD$9319,MATCH(R217,'Inventaire M'!$A:$A,0)-1,MATCH("Cours EUR",'Inventaire M'!#REF!,0))),"Sell",INDEX('Inventaire M'!$A$2:$AD$9319,MATCH(R217,'Inventaire M'!$A:$A,0)-1,MATCH("Cours EUR",'Inventaire M'!#REF!,0))))</f>
        <v>#REF!</v>
      </c>
      <c r="W217" s="175"/>
      <c r="X217" s="156" t="e">
        <f>IF(R217="-","",INDEX('Inventaire M-1'!$A$2:$AG$9334,MATCH(R217,'Inventaire M-1'!$A:$A,0)-1,MATCH("quantite",'Inventaire M-1'!#REF!,0)))</f>
        <v>#REF!</v>
      </c>
      <c r="Y217" s="156" t="e">
        <f>IF(S217="-","",IF(ISERROR(INDEX('Inventaire M'!$A$2:$AD$9319,MATCH(R217,'Inventaire M'!$A:$A,0)-1,MATCH("quantite",'Inventaire M'!#REF!,0))),"Sell",INDEX('Inventaire M'!$A$2:$AD$9319,MATCH(R217,'Inventaire M'!$A:$A,0)-1,MATCH("quantite",'Inventaire M'!#REF!,0))))</f>
        <v>#REF!</v>
      </c>
      <c r="Z217" s="175"/>
      <c r="AA217" s="155" t="e">
        <f>IF(R217="-","",INDEX('Inventaire M-1'!$A$2:$AG$9334,MATCH(R217,'Inventaire M-1'!$A:$A,0)-1,MATCH("poids",'Inventaire M-1'!#REF!,0)))</f>
        <v>#REF!</v>
      </c>
      <c r="AB217" s="155" t="e">
        <f>IF(R217="-","",IF(ISERROR(INDEX('Inventaire M'!$A$2:$AD$9319,MATCH(R217,'Inventaire M'!$A:$A,0)-1,MATCH("poids",'Inventaire M'!#REF!,0))),"Sell",INDEX('Inventaire M'!$A$2:$AD$9319,MATCH(R217,'Inventaire M'!$A:$A,0)-1,MATCH("poids",'Inventaire M'!#REF!,0))))</f>
        <v>#REF!</v>
      </c>
      <c r="AC217" s="175"/>
      <c r="AD217" s="157" t="str">
        <f t="shared" si="18"/>
        <v>0</v>
      </c>
      <c r="AE217" s="98" t="str">
        <f t="shared" si="19"/>
        <v/>
      </c>
      <c r="AF217" s="80" t="e">
        <f t="shared" si="20"/>
        <v>#REF!</v>
      </c>
    </row>
    <row r="218" spans="2:32" outlineLevel="1">
      <c r="B218" s="175" t="e">
        <f>IF(OR('Inventaire M'!#REF!="Dispo/Liquidité Investie",'Inventaire M'!#REF!="Option/Future",'Inventaire M'!#REF!="TCN",'Inventaire M'!#REF!=""),"-",'Inventaire M'!#REF!)</f>
        <v>#REF!</v>
      </c>
      <c r="C218" s="175" t="e">
        <f>IF(OR('Inventaire M'!#REF!="Dispo/Liquidité Investie",'Inventaire M'!#REF!="Option/Future",'Inventaire M'!#REF!="TCN",'Inventaire M'!#REF!=""),"-",'Inventaire M'!#REF!)</f>
        <v>#REF!</v>
      </c>
      <c r="D218" s="175"/>
      <c r="E218" s="175" t="e">
        <f>IF(B218="-","",INDEX('Inventaire M'!$A$2:$AW$9305,MATCH(B218,'Inventaire M'!$A:$A,0)-1,MATCH("Cours EUR",'Inventaire M'!#REF!,0)))</f>
        <v>#REF!</v>
      </c>
      <c r="F218" s="175" t="e">
        <f>IF(B218="-","",IF(ISERROR(INDEX('Inventaire M-1'!$A$2:$AZ$9320,MATCH(B218,'Inventaire M-1'!$A:$A,0)-1,MATCH("Cours EUR",'Inventaire M-1'!#REF!,0))),"Buy",INDEX('Inventaire M-1'!$A$2:$AZ$9320,MATCH(B218,'Inventaire M-1'!$A:$A,0)-1,MATCH("Cours EUR",'Inventaire M-1'!#REF!,0))))</f>
        <v>#REF!</v>
      </c>
      <c r="G218" s="175"/>
      <c r="H218" s="156" t="e">
        <f>IF(B218="-","",INDEX('Inventaire M'!$A$2:$AW$9305,MATCH(B218,'Inventaire M'!$A:$A,0)-1,MATCH("quantite",'Inventaire M'!#REF!,0)))</f>
        <v>#REF!</v>
      </c>
      <c r="I218" s="156" t="e">
        <f>IF(C218="-","",IF(ISERROR(INDEX('Inventaire M-1'!$A$2:$AZ$9320,MATCH(B218,'Inventaire M-1'!$A:$A,0)-1,MATCH("quantite",'Inventaire M-1'!#REF!,0))),"Buy",INDEX('Inventaire M-1'!$A$2:$AZ$9320,MATCH(B218,'Inventaire M-1'!$A:$A,0)-1,MATCH("quantite",'Inventaire M-1'!#REF!,0))))</f>
        <v>#REF!</v>
      </c>
      <c r="J218" s="175"/>
      <c r="K218" s="155" t="e">
        <f>IF(B218="-","",INDEX('Inventaire M'!$A$2:$AW$9305,MATCH(B218,'Inventaire M'!$A:$A,0)-1,MATCH("poids",'Inventaire M'!#REF!,0)))</f>
        <v>#REF!</v>
      </c>
      <c r="L218" s="155" t="e">
        <f>IF(B218="-","",IF(ISERROR(INDEX('Inventaire M-1'!$A$2:$AZ$9320,MATCH(B218,'Inventaire M-1'!$A:$A,0)-1,MATCH("poids",'Inventaire M-1'!#REF!,0))),"Buy",INDEX('Inventaire M-1'!$A$2:$AZ$9320,MATCH(B218,'Inventaire M-1'!$A:$A,0)-1,MATCH("poids",'Inventaire M-1'!#REF!,0))))</f>
        <v>#REF!</v>
      </c>
      <c r="M218" s="175"/>
      <c r="N218" s="157" t="str">
        <f t="shared" ref="N218:N281" si="24">IFERROR(IF(I218="Buy",H218,H218-I218),"0")</f>
        <v>0</v>
      </c>
      <c r="O218" s="98" t="str">
        <f t="shared" ref="O218:O281" si="25">IFERROR(IF(N218&gt;0,IF(L218="Buy",K218,K218-L218)+Q218,""),"")</f>
        <v/>
      </c>
      <c r="P218" s="80" t="e">
        <f t="shared" ref="P218:P281" si="26">C218</f>
        <v>#REF!</v>
      </c>
      <c r="Q218" s="75">
        <v>1.9399999999999998E-8</v>
      </c>
      <c r="R218" s="175" t="e">
        <f>IF(OR('Inventaire M-1'!#REF!="Dispo/Liquidité Investie",'Inventaire M-1'!#REF!="Option/Future",'Inventaire M-1'!#REF!="TCN",'Inventaire M-1'!#REF!=""),"-",'Inventaire M-1'!#REF!)</f>
        <v>#REF!</v>
      </c>
      <c r="S218" s="175" t="e">
        <f>IF(OR('Inventaire M-1'!#REF!="Dispo/Liquidité Investie",'Inventaire M-1'!#REF!="Option/Future",'Inventaire M-1'!#REF!="TCN",'Inventaire M-1'!#REF!=""),"-",'Inventaire M-1'!#REF!)</f>
        <v>#REF!</v>
      </c>
      <c r="T218" s="175"/>
      <c r="U218" s="175" t="e">
        <f>IF(R218="-","",INDEX('Inventaire M-1'!$A$2:$AG$9334,MATCH(R218,'Inventaire M-1'!$A:$A,0)-1,MATCH("Cours EUR",'Inventaire M-1'!#REF!,0)))</f>
        <v>#REF!</v>
      </c>
      <c r="V218" s="175" t="e">
        <f>IF(R218="-","",IF(ISERROR(INDEX('Inventaire M'!$A$2:$AD$9319,MATCH(R218,'Inventaire M'!$A:$A,0)-1,MATCH("Cours EUR",'Inventaire M'!#REF!,0))),"Sell",INDEX('Inventaire M'!$A$2:$AD$9319,MATCH(R218,'Inventaire M'!$A:$A,0)-1,MATCH("Cours EUR",'Inventaire M'!#REF!,0))))</f>
        <v>#REF!</v>
      </c>
      <c r="W218" s="175"/>
      <c r="X218" s="156" t="e">
        <f>IF(R218="-","",INDEX('Inventaire M-1'!$A$2:$AG$9334,MATCH(R218,'Inventaire M-1'!$A:$A,0)-1,MATCH("quantite",'Inventaire M-1'!#REF!,0)))</f>
        <v>#REF!</v>
      </c>
      <c r="Y218" s="156" t="e">
        <f>IF(S218="-","",IF(ISERROR(INDEX('Inventaire M'!$A$2:$AD$9319,MATCH(R218,'Inventaire M'!$A:$A,0)-1,MATCH("quantite",'Inventaire M'!#REF!,0))),"Sell",INDEX('Inventaire M'!$A$2:$AD$9319,MATCH(R218,'Inventaire M'!$A:$A,0)-1,MATCH("quantite",'Inventaire M'!#REF!,0))))</f>
        <v>#REF!</v>
      </c>
      <c r="Z218" s="175"/>
      <c r="AA218" s="155" t="e">
        <f>IF(R218="-","",INDEX('Inventaire M-1'!$A$2:$AG$9334,MATCH(R218,'Inventaire M-1'!$A:$A,0)-1,MATCH("poids",'Inventaire M-1'!#REF!,0)))</f>
        <v>#REF!</v>
      </c>
      <c r="AB218" s="155" t="e">
        <f>IF(R218="-","",IF(ISERROR(INDEX('Inventaire M'!$A$2:$AD$9319,MATCH(R218,'Inventaire M'!$A:$A,0)-1,MATCH("poids",'Inventaire M'!#REF!,0))),"Sell",INDEX('Inventaire M'!$A$2:$AD$9319,MATCH(R218,'Inventaire M'!$A:$A,0)-1,MATCH("poids",'Inventaire M'!#REF!,0))))</f>
        <v>#REF!</v>
      </c>
      <c r="AC218" s="175"/>
      <c r="AD218" s="157" t="str">
        <f t="shared" ref="AD218:AD281" si="27">IFERROR(IF(Y218="Sell",-X218,Y218-X218),"0")</f>
        <v>0</v>
      </c>
      <c r="AE218" s="98" t="str">
        <f t="shared" ref="AE218:AE281" si="28">IFERROR(IF(AD218&lt;0,IF(AB218="Sell",AA218+10%,AB218-AA218)+Q218,""),"")</f>
        <v/>
      </c>
      <c r="AF218" s="80" t="e">
        <f t="shared" ref="AF218:AF281" si="29">S218</f>
        <v>#REF!</v>
      </c>
    </row>
    <row r="219" spans="2:32" outlineLevel="1">
      <c r="B219" s="175" t="e">
        <f>IF(OR('Inventaire M'!#REF!="Dispo/Liquidité Investie",'Inventaire M'!#REF!="Option/Future",'Inventaire M'!#REF!="TCN",'Inventaire M'!#REF!=""),"-",'Inventaire M'!#REF!)</f>
        <v>#REF!</v>
      </c>
      <c r="C219" s="175" t="e">
        <f>IF(OR('Inventaire M'!#REF!="Dispo/Liquidité Investie",'Inventaire M'!#REF!="Option/Future",'Inventaire M'!#REF!="TCN",'Inventaire M'!#REF!=""),"-",'Inventaire M'!#REF!)</f>
        <v>#REF!</v>
      </c>
      <c r="D219" s="175"/>
      <c r="E219" s="175" t="e">
        <f>IF(B219="-","",INDEX('Inventaire M'!$A$2:$AW$9305,MATCH(B219,'Inventaire M'!$A:$A,0)-1,MATCH("Cours EUR",'Inventaire M'!#REF!,0)))</f>
        <v>#REF!</v>
      </c>
      <c r="F219" s="175" t="e">
        <f>IF(B219="-","",IF(ISERROR(INDEX('Inventaire M-1'!$A$2:$AZ$9320,MATCH(B219,'Inventaire M-1'!$A:$A,0)-1,MATCH("Cours EUR",'Inventaire M-1'!#REF!,0))),"Buy",INDEX('Inventaire M-1'!$A$2:$AZ$9320,MATCH(B219,'Inventaire M-1'!$A:$A,0)-1,MATCH("Cours EUR",'Inventaire M-1'!#REF!,0))))</f>
        <v>#REF!</v>
      </c>
      <c r="G219" s="175"/>
      <c r="H219" s="156" t="e">
        <f>IF(B219="-","",INDEX('Inventaire M'!$A$2:$AW$9305,MATCH(B219,'Inventaire M'!$A:$A,0)-1,MATCH("quantite",'Inventaire M'!#REF!,0)))</f>
        <v>#REF!</v>
      </c>
      <c r="I219" s="156" t="e">
        <f>IF(C219="-","",IF(ISERROR(INDEX('Inventaire M-1'!$A$2:$AZ$9320,MATCH(B219,'Inventaire M-1'!$A:$A,0)-1,MATCH("quantite",'Inventaire M-1'!#REF!,0))),"Buy",INDEX('Inventaire M-1'!$A$2:$AZ$9320,MATCH(B219,'Inventaire M-1'!$A:$A,0)-1,MATCH("quantite",'Inventaire M-1'!#REF!,0))))</f>
        <v>#REF!</v>
      </c>
      <c r="J219" s="175"/>
      <c r="K219" s="155" t="e">
        <f>IF(B219="-","",INDEX('Inventaire M'!$A$2:$AW$9305,MATCH(B219,'Inventaire M'!$A:$A,0)-1,MATCH("poids",'Inventaire M'!#REF!,0)))</f>
        <v>#REF!</v>
      </c>
      <c r="L219" s="155" t="e">
        <f>IF(B219="-","",IF(ISERROR(INDEX('Inventaire M-1'!$A$2:$AZ$9320,MATCH(B219,'Inventaire M-1'!$A:$A,0)-1,MATCH("poids",'Inventaire M-1'!#REF!,0))),"Buy",INDEX('Inventaire M-1'!$A$2:$AZ$9320,MATCH(B219,'Inventaire M-1'!$A:$A,0)-1,MATCH("poids",'Inventaire M-1'!#REF!,0))))</f>
        <v>#REF!</v>
      </c>
      <c r="M219" s="175"/>
      <c r="N219" s="157" t="str">
        <f t="shared" si="24"/>
        <v>0</v>
      </c>
      <c r="O219" s="98" t="str">
        <f t="shared" si="25"/>
        <v/>
      </c>
      <c r="P219" s="80" t="e">
        <f t="shared" si="26"/>
        <v>#REF!</v>
      </c>
      <c r="Q219" s="75">
        <v>1.9499999999999999E-8</v>
      </c>
      <c r="R219" s="175" t="e">
        <f>IF(OR('Inventaire M-1'!#REF!="Dispo/Liquidité Investie",'Inventaire M-1'!#REF!="Option/Future",'Inventaire M-1'!#REF!="TCN",'Inventaire M-1'!#REF!=""),"-",'Inventaire M-1'!#REF!)</f>
        <v>#REF!</v>
      </c>
      <c r="S219" s="175" t="e">
        <f>IF(OR('Inventaire M-1'!#REF!="Dispo/Liquidité Investie",'Inventaire M-1'!#REF!="Option/Future",'Inventaire M-1'!#REF!="TCN",'Inventaire M-1'!#REF!=""),"-",'Inventaire M-1'!#REF!)</f>
        <v>#REF!</v>
      </c>
      <c r="T219" s="175"/>
      <c r="U219" s="175" t="e">
        <f>IF(R219="-","",INDEX('Inventaire M-1'!$A$2:$AG$9334,MATCH(R219,'Inventaire M-1'!$A:$A,0)-1,MATCH("Cours EUR",'Inventaire M-1'!#REF!,0)))</f>
        <v>#REF!</v>
      </c>
      <c r="V219" s="175" t="e">
        <f>IF(R219="-","",IF(ISERROR(INDEX('Inventaire M'!$A$2:$AD$9319,MATCH(R219,'Inventaire M'!$A:$A,0)-1,MATCH("Cours EUR",'Inventaire M'!#REF!,0))),"Sell",INDEX('Inventaire M'!$A$2:$AD$9319,MATCH(R219,'Inventaire M'!$A:$A,0)-1,MATCH("Cours EUR",'Inventaire M'!#REF!,0))))</f>
        <v>#REF!</v>
      </c>
      <c r="W219" s="175"/>
      <c r="X219" s="156" t="e">
        <f>IF(R219="-","",INDEX('Inventaire M-1'!$A$2:$AG$9334,MATCH(R219,'Inventaire M-1'!$A:$A,0)-1,MATCH("quantite",'Inventaire M-1'!#REF!,0)))</f>
        <v>#REF!</v>
      </c>
      <c r="Y219" s="156" t="e">
        <f>IF(S219="-","",IF(ISERROR(INDEX('Inventaire M'!$A$2:$AD$9319,MATCH(R219,'Inventaire M'!$A:$A,0)-1,MATCH("quantite",'Inventaire M'!#REF!,0))),"Sell",INDEX('Inventaire M'!$A$2:$AD$9319,MATCH(R219,'Inventaire M'!$A:$A,0)-1,MATCH("quantite",'Inventaire M'!#REF!,0))))</f>
        <v>#REF!</v>
      </c>
      <c r="Z219" s="175"/>
      <c r="AA219" s="155" t="e">
        <f>IF(R219="-","",INDEX('Inventaire M-1'!$A$2:$AG$9334,MATCH(R219,'Inventaire M-1'!$A:$A,0)-1,MATCH("poids",'Inventaire M-1'!#REF!,0)))</f>
        <v>#REF!</v>
      </c>
      <c r="AB219" s="155" t="e">
        <f>IF(R219="-","",IF(ISERROR(INDEX('Inventaire M'!$A$2:$AD$9319,MATCH(R219,'Inventaire M'!$A:$A,0)-1,MATCH("poids",'Inventaire M'!#REF!,0))),"Sell",INDEX('Inventaire M'!$A$2:$AD$9319,MATCH(R219,'Inventaire M'!$A:$A,0)-1,MATCH("poids",'Inventaire M'!#REF!,0))))</f>
        <v>#REF!</v>
      </c>
      <c r="AC219" s="175"/>
      <c r="AD219" s="157" t="str">
        <f t="shared" si="27"/>
        <v>0</v>
      </c>
      <c r="AE219" s="98" t="str">
        <f t="shared" si="28"/>
        <v/>
      </c>
      <c r="AF219" s="80" t="e">
        <f t="shared" si="29"/>
        <v>#REF!</v>
      </c>
    </row>
    <row r="220" spans="2:32" outlineLevel="1">
      <c r="B220" s="175" t="e">
        <f>IF(OR('Inventaire M'!#REF!="Dispo/Liquidité Investie",'Inventaire M'!#REF!="Option/Future",'Inventaire M'!#REF!="TCN",'Inventaire M'!#REF!=""),"-",'Inventaire M'!#REF!)</f>
        <v>#REF!</v>
      </c>
      <c r="C220" s="175" t="e">
        <f>IF(OR('Inventaire M'!#REF!="Dispo/Liquidité Investie",'Inventaire M'!#REF!="Option/Future",'Inventaire M'!#REF!="TCN",'Inventaire M'!#REF!=""),"-",'Inventaire M'!#REF!)</f>
        <v>#REF!</v>
      </c>
      <c r="D220" s="175"/>
      <c r="E220" s="175" t="e">
        <f>IF(B220="-","",INDEX('Inventaire M'!$A$2:$AW$9305,MATCH(B220,'Inventaire M'!$A:$A,0)-1,MATCH("Cours EUR",'Inventaire M'!#REF!,0)))</f>
        <v>#REF!</v>
      </c>
      <c r="F220" s="175" t="e">
        <f>IF(B220="-","",IF(ISERROR(INDEX('Inventaire M-1'!$A$2:$AZ$9320,MATCH(B220,'Inventaire M-1'!$A:$A,0)-1,MATCH("Cours EUR",'Inventaire M-1'!#REF!,0))),"Buy",INDEX('Inventaire M-1'!$A$2:$AZ$9320,MATCH(B220,'Inventaire M-1'!$A:$A,0)-1,MATCH("Cours EUR",'Inventaire M-1'!#REF!,0))))</f>
        <v>#REF!</v>
      </c>
      <c r="G220" s="175"/>
      <c r="H220" s="156" t="e">
        <f>IF(B220="-","",INDEX('Inventaire M'!$A$2:$AW$9305,MATCH(B220,'Inventaire M'!$A:$A,0)-1,MATCH("quantite",'Inventaire M'!#REF!,0)))</f>
        <v>#REF!</v>
      </c>
      <c r="I220" s="156" t="e">
        <f>IF(C220="-","",IF(ISERROR(INDEX('Inventaire M-1'!$A$2:$AZ$9320,MATCH(B220,'Inventaire M-1'!$A:$A,0)-1,MATCH("quantite",'Inventaire M-1'!#REF!,0))),"Buy",INDEX('Inventaire M-1'!$A$2:$AZ$9320,MATCH(B220,'Inventaire M-1'!$A:$A,0)-1,MATCH("quantite",'Inventaire M-1'!#REF!,0))))</f>
        <v>#REF!</v>
      </c>
      <c r="J220" s="175"/>
      <c r="K220" s="155" t="e">
        <f>IF(B220="-","",INDEX('Inventaire M'!$A$2:$AW$9305,MATCH(B220,'Inventaire M'!$A:$A,0)-1,MATCH("poids",'Inventaire M'!#REF!,0)))</f>
        <v>#REF!</v>
      </c>
      <c r="L220" s="155" t="e">
        <f>IF(B220="-","",IF(ISERROR(INDEX('Inventaire M-1'!$A$2:$AZ$9320,MATCH(B220,'Inventaire M-1'!$A:$A,0)-1,MATCH("poids",'Inventaire M-1'!#REF!,0))),"Buy",INDEX('Inventaire M-1'!$A$2:$AZ$9320,MATCH(B220,'Inventaire M-1'!$A:$A,0)-1,MATCH("poids",'Inventaire M-1'!#REF!,0))))</f>
        <v>#REF!</v>
      </c>
      <c r="M220" s="175"/>
      <c r="N220" s="157" t="str">
        <f t="shared" si="24"/>
        <v>0</v>
      </c>
      <c r="O220" s="98" t="str">
        <f t="shared" si="25"/>
        <v/>
      </c>
      <c r="P220" s="80" t="e">
        <f t="shared" si="26"/>
        <v>#REF!</v>
      </c>
      <c r="Q220" s="75">
        <v>1.96E-8</v>
      </c>
      <c r="R220" s="175" t="e">
        <f>IF(OR('Inventaire M-1'!#REF!="Dispo/Liquidité Investie",'Inventaire M-1'!#REF!="Option/Future",'Inventaire M-1'!#REF!="TCN",'Inventaire M-1'!#REF!=""),"-",'Inventaire M-1'!#REF!)</f>
        <v>#REF!</v>
      </c>
      <c r="S220" s="175" t="e">
        <f>IF(OR('Inventaire M-1'!#REF!="Dispo/Liquidité Investie",'Inventaire M-1'!#REF!="Option/Future",'Inventaire M-1'!#REF!="TCN",'Inventaire M-1'!#REF!=""),"-",'Inventaire M-1'!#REF!)</f>
        <v>#REF!</v>
      </c>
      <c r="T220" s="175"/>
      <c r="U220" s="175" t="e">
        <f>IF(R220="-","",INDEX('Inventaire M-1'!$A$2:$AG$9334,MATCH(R220,'Inventaire M-1'!$A:$A,0)-1,MATCH("Cours EUR",'Inventaire M-1'!#REF!,0)))</f>
        <v>#REF!</v>
      </c>
      <c r="V220" s="175" t="e">
        <f>IF(R220="-","",IF(ISERROR(INDEX('Inventaire M'!$A$2:$AD$9319,MATCH(R220,'Inventaire M'!$A:$A,0)-1,MATCH("Cours EUR",'Inventaire M'!#REF!,0))),"Sell",INDEX('Inventaire M'!$A$2:$AD$9319,MATCH(R220,'Inventaire M'!$A:$A,0)-1,MATCH("Cours EUR",'Inventaire M'!#REF!,0))))</f>
        <v>#REF!</v>
      </c>
      <c r="W220" s="175"/>
      <c r="X220" s="156" t="e">
        <f>IF(R220="-","",INDEX('Inventaire M-1'!$A$2:$AG$9334,MATCH(R220,'Inventaire M-1'!$A:$A,0)-1,MATCH("quantite",'Inventaire M-1'!#REF!,0)))</f>
        <v>#REF!</v>
      </c>
      <c r="Y220" s="156" t="e">
        <f>IF(S220="-","",IF(ISERROR(INDEX('Inventaire M'!$A$2:$AD$9319,MATCH(R220,'Inventaire M'!$A:$A,0)-1,MATCH("quantite",'Inventaire M'!#REF!,0))),"Sell",INDEX('Inventaire M'!$A$2:$AD$9319,MATCH(R220,'Inventaire M'!$A:$A,0)-1,MATCH("quantite",'Inventaire M'!#REF!,0))))</f>
        <v>#REF!</v>
      </c>
      <c r="Z220" s="175"/>
      <c r="AA220" s="155" t="e">
        <f>IF(R220="-","",INDEX('Inventaire M-1'!$A$2:$AG$9334,MATCH(R220,'Inventaire M-1'!$A:$A,0)-1,MATCH("poids",'Inventaire M-1'!#REF!,0)))</f>
        <v>#REF!</v>
      </c>
      <c r="AB220" s="155" t="e">
        <f>IF(R220="-","",IF(ISERROR(INDEX('Inventaire M'!$A$2:$AD$9319,MATCH(R220,'Inventaire M'!$A:$A,0)-1,MATCH("poids",'Inventaire M'!#REF!,0))),"Sell",INDEX('Inventaire M'!$A$2:$AD$9319,MATCH(R220,'Inventaire M'!$A:$A,0)-1,MATCH("poids",'Inventaire M'!#REF!,0))))</f>
        <v>#REF!</v>
      </c>
      <c r="AC220" s="175"/>
      <c r="AD220" s="157" t="str">
        <f t="shared" si="27"/>
        <v>0</v>
      </c>
      <c r="AE220" s="98" t="str">
        <f t="shared" si="28"/>
        <v/>
      </c>
      <c r="AF220" s="80" t="e">
        <f t="shared" si="29"/>
        <v>#REF!</v>
      </c>
    </row>
    <row r="221" spans="2:32" outlineLevel="1">
      <c r="B221" s="175" t="e">
        <f>IF(OR('Inventaire M'!#REF!="Dispo/Liquidité Investie",'Inventaire M'!#REF!="Option/Future",'Inventaire M'!#REF!="TCN",'Inventaire M'!#REF!=""),"-",'Inventaire M'!#REF!)</f>
        <v>#REF!</v>
      </c>
      <c r="C221" s="175" t="e">
        <f>IF(OR('Inventaire M'!#REF!="Dispo/Liquidité Investie",'Inventaire M'!#REF!="Option/Future",'Inventaire M'!#REF!="TCN",'Inventaire M'!#REF!=""),"-",'Inventaire M'!#REF!)</f>
        <v>#REF!</v>
      </c>
      <c r="D221" s="175"/>
      <c r="E221" s="175" t="e">
        <f>IF(B221="-","",INDEX('Inventaire M'!$A$2:$AW$9305,MATCH(B221,'Inventaire M'!$A:$A,0)-1,MATCH("Cours EUR",'Inventaire M'!#REF!,0)))</f>
        <v>#REF!</v>
      </c>
      <c r="F221" s="175" t="e">
        <f>IF(B221="-","",IF(ISERROR(INDEX('Inventaire M-1'!$A$2:$AZ$9320,MATCH(B221,'Inventaire M-1'!$A:$A,0)-1,MATCH("Cours EUR",'Inventaire M-1'!#REF!,0))),"Buy",INDEX('Inventaire M-1'!$A$2:$AZ$9320,MATCH(B221,'Inventaire M-1'!$A:$A,0)-1,MATCH("Cours EUR",'Inventaire M-1'!#REF!,0))))</f>
        <v>#REF!</v>
      </c>
      <c r="G221" s="175"/>
      <c r="H221" s="156" t="e">
        <f>IF(B221="-","",INDEX('Inventaire M'!$A$2:$AW$9305,MATCH(B221,'Inventaire M'!$A:$A,0)-1,MATCH("quantite",'Inventaire M'!#REF!,0)))</f>
        <v>#REF!</v>
      </c>
      <c r="I221" s="156" t="e">
        <f>IF(C221="-","",IF(ISERROR(INDEX('Inventaire M-1'!$A$2:$AZ$9320,MATCH(B221,'Inventaire M-1'!$A:$A,0)-1,MATCH("quantite",'Inventaire M-1'!#REF!,0))),"Buy",INDEX('Inventaire M-1'!$A$2:$AZ$9320,MATCH(B221,'Inventaire M-1'!$A:$A,0)-1,MATCH("quantite",'Inventaire M-1'!#REF!,0))))</f>
        <v>#REF!</v>
      </c>
      <c r="J221" s="175"/>
      <c r="K221" s="155" t="e">
        <f>IF(B221="-","",INDEX('Inventaire M'!$A$2:$AW$9305,MATCH(B221,'Inventaire M'!$A:$A,0)-1,MATCH("poids",'Inventaire M'!#REF!,0)))</f>
        <v>#REF!</v>
      </c>
      <c r="L221" s="155" t="e">
        <f>IF(B221="-","",IF(ISERROR(INDEX('Inventaire M-1'!$A$2:$AZ$9320,MATCH(B221,'Inventaire M-1'!$A:$A,0)-1,MATCH("poids",'Inventaire M-1'!#REF!,0))),"Buy",INDEX('Inventaire M-1'!$A$2:$AZ$9320,MATCH(B221,'Inventaire M-1'!$A:$A,0)-1,MATCH("poids",'Inventaire M-1'!#REF!,0))))</f>
        <v>#REF!</v>
      </c>
      <c r="M221" s="175"/>
      <c r="N221" s="157" t="str">
        <f t="shared" si="24"/>
        <v>0</v>
      </c>
      <c r="O221" s="98" t="str">
        <f t="shared" si="25"/>
        <v/>
      </c>
      <c r="P221" s="80" t="e">
        <f t="shared" si="26"/>
        <v>#REF!</v>
      </c>
      <c r="Q221" s="75">
        <v>1.9700000000000001E-8</v>
      </c>
      <c r="R221" s="175" t="e">
        <f>IF(OR('Inventaire M-1'!#REF!="Dispo/Liquidité Investie",'Inventaire M-1'!#REF!="Option/Future",'Inventaire M-1'!#REF!="TCN",'Inventaire M-1'!#REF!=""),"-",'Inventaire M-1'!#REF!)</f>
        <v>#REF!</v>
      </c>
      <c r="S221" s="175" t="e">
        <f>IF(OR('Inventaire M-1'!#REF!="Dispo/Liquidité Investie",'Inventaire M-1'!#REF!="Option/Future",'Inventaire M-1'!#REF!="TCN",'Inventaire M-1'!#REF!=""),"-",'Inventaire M-1'!#REF!)</f>
        <v>#REF!</v>
      </c>
      <c r="T221" s="175"/>
      <c r="U221" s="175" t="e">
        <f>IF(R221="-","",INDEX('Inventaire M-1'!$A$2:$AG$9334,MATCH(R221,'Inventaire M-1'!$A:$A,0)-1,MATCH("Cours EUR",'Inventaire M-1'!#REF!,0)))</f>
        <v>#REF!</v>
      </c>
      <c r="V221" s="175" t="e">
        <f>IF(R221="-","",IF(ISERROR(INDEX('Inventaire M'!$A$2:$AD$9319,MATCH(R221,'Inventaire M'!$A:$A,0)-1,MATCH("Cours EUR",'Inventaire M'!#REF!,0))),"Sell",INDEX('Inventaire M'!$A$2:$AD$9319,MATCH(R221,'Inventaire M'!$A:$A,0)-1,MATCH("Cours EUR",'Inventaire M'!#REF!,0))))</f>
        <v>#REF!</v>
      </c>
      <c r="W221" s="175"/>
      <c r="X221" s="156" t="e">
        <f>IF(R221="-","",INDEX('Inventaire M-1'!$A$2:$AG$9334,MATCH(R221,'Inventaire M-1'!$A:$A,0)-1,MATCH("quantite",'Inventaire M-1'!#REF!,0)))</f>
        <v>#REF!</v>
      </c>
      <c r="Y221" s="156" t="e">
        <f>IF(S221="-","",IF(ISERROR(INDEX('Inventaire M'!$A$2:$AD$9319,MATCH(R221,'Inventaire M'!$A:$A,0)-1,MATCH("quantite",'Inventaire M'!#REF!,0))),"Sell",INDEX('Inventaire M'!$A$2:$AD$9319,MATCH(R221,'Inventaire M'!$A:$A,0)-1,MATCH("quantite",'Inventaire M'!#REF!,0))))</f>
        <v>#REF!</v>
      </c>
      <c r="Z221" s="175"/>
      <c r="AA221" s="155" t="e">
        <f>IF(R221="-","",INDEX('Inventaire M-1'!$A$2:$AG$9334,MATCH(R221,'Inventaire M-1'!$A:$A,0)-1,MATCH("poids",'Inventaire M-1'!#REF!,0)))</f>
        <v>#REF!</v>
      </c>
      <c r="AB221" s="155" t="e">
        <f>IF(R221="-","",IF(ISERROR(INDEX('Inventaire M'!$A$2:$AD$9319,MATCH(R221,'Inventaire M'!$A:$A,0)-1,MATCH("poids",'Inventaire M'!#REF!,0))),"Sell",INDEX('Inventaire M'!$A$2:$AD$9319,MATCH(R221,'Inventaire M'!$A:$A,0)-1,MATCH("poids",'Inventaire M'!#REF!,0))))</f>
        <v>#REF!</v>
      </c>
      <c r="AC221" s="175"/>
      <c r="AD221" s="157" t="str">
        <f t="shared" si="27"/>
        <v>0</v>
      </c>
      <c r="AE221" s="98" t="str">
        <f t="shared" si="28"/>
        <v/>
      </c>
      <c r="AF221" s="80" t="e">
        <f t="shared" si="29"/>
        <v>#REF!</v>
      </c>
    </row>
    <row r="222" spans="2:32" outlineLevel="1">
      <c r="B222" s="175" t="e">
        <f>IF(OR('Inventaire M'!#REF!="Dispo/Liquidité Investie",'Inventaire M'!#REF!="Option/Future",'Inventaire M'!#REF!="TCN",'Inventaire M'!#REF!=""),"-",'Inventaire M'!#REF!)</f>
        <v>#REF!</v>
      </c>
      <c r="C222" s="175" t="e">
        <f>IF(OR('Inventaire M'!#REF!="Dispo/Liquidité Investie",'Inventaire M'!#REF!="Option/Future",'Inventaire M'!#REF!="TCN",'Inventaire M'!#REF!=""),"-",'Inventaire M'!#REF!)</f>
        <v>#REF!</v>
      </c>
      <c r="D222" s="175"/>
      <c r="E222" s="175" t="e">
        <f>IF(B222="-","",INDEX('Inventaire M'!$A$2:$AW$9305,MATCH(B222,'Inventaire M'!$A:$A,0)-1,MATCH("Cours EUR",'Inventaire M'!#REF!,0)))</f>
        <v>#REF!</v>
      </c>
      <c r="F222" s="175" t="e">
        <f>IF(B222="-","",IF(ISERROR(INDEX('Inventaire M-1'!$A$2:$AZ$9320,MATCH(B222,'Inventaire M-1'!$A:$A,0)-1,MATCH("Cours EUR",'Inventaire M-1'!#REF!,0))),"Buy",INDEX('Inventaire M-1'!$A$2:$AZ$9320,MATCH(B222,'Inventaire M-1'!$A:$A,0)-1,MATCH("Cours EUR",'Inventaire M-1'!#REF!,0))))</f>
        <v>#REF!</v>
      </c>
      <c r="G222" s="175"/>
      <c r="H222" s="156" t="e">
        <f>IF(B222="-","",INDEX('Inventaire M'!$A$2:$AW$9305,MATCH(B222,'Inventaire M'!$A:$A,0)-1,MATCH("quantite",'Inventaire M'!#REF!,0)))</f>
        <v>#REF!</v>
      </c>
      <c r="I222" s="156" t="e">
        <f>IF(C222="-","",IF(ISERROR(INDEX('Inventaire M-1'!$A$2:$AZ$9320,MATCH(B222,'Inventaire M-1'!$A:$A,0)-1,MATCH("quantite",'Inventaire M-1'!#REF!,0))),"Buy",INDEX('Inventaire M-1'!$A$2:$AZ$9320,MATCH(B222,'Inventaire M-1'!$A:$A,0)-1,MATCH("quantite",'Inventaire M-1'!#REF!,0))))</f>
        <v>#REF!</v>
      </c>
      <c r="J222" s="175"/>
      <c r="K222" s="155" t="e">
        <f>IF(B222="-","",INDEX('Inventaire M'!$A$2:$AW$9305,MATCH(B222,'Inventaire M'!$A:$A,0)-1,MATCH("poids",'Inventaire M'!#REF!,0)))</f>
        <v>#REF!</v>
      </c>
      <c r="L222" s="155" t="e">
        <f>IF(B222="-","",IF(ISERROR(INDEX('Inventaire M-1'!$A$2:$AZ$9320,MATCH(B222,'Inventaire M-1'!$A:$A,0)-1,MATCH("poids",'Inventaire M-1'!#REF!,0))),"Buy",INDEX('Inventaire M-1'!$A$2:$AZ$9320,MATCH(B222,'Inventaire M-1'!$A:$A,0)-1,MATCH("poids",'Inventaire M-1'!#REF!,0))))</f>
        <v>#REF!</v>
      </c>
      <c r="M222" s="175"/>
      <c r="N222" s="157" t="str">
        <f t="shared" si="24"/>
        <v>0</v>
      </c>
      <c r="O222" s="98" t="str">
        <f t="shared" si="25"/>
        <v/>
      </c>
      <c r="P222" s="80" t="e">
        <f t="shared" si="26"/>
        <v>#REF!</v>
      </c>
      <c r="Q222" s="75">
        <v>1.9799999999999999E-8</v>
      </c>
      <c r="R222" s="175" t="e">
        <f>IF(OR('Inventaire M-1'!#REF!="Dispo/Liquidité Investie",'Inventaire M-1'!#REF!="Option/Future",'Inventaire M-1'!#REF!="TCN",'Inventaire M-1'!#REF!=""),"-",'Inventaire M-1'!#REF!)</f>
        <v>#REF!</v>
      </c>
      <c r="S222" s="175" t="e">
        <f>IF(OR('Inventaire M-1'!#REF!="Dispo/Liquidité Investie",'Inventaire M-1'!#REF!="Option/Future",'Inventaire M-1'!#REF!="TCN",'Inventaire M-1'!#REF!=""),"-",'Inventaire M-1'!#REF!)</f>
        <v>#REF!</v>
      </c>
      <c r="T222" s="175"/>
      <c r="U222" s="175" t="e">
        <f>IF(R222="-","",INDEX('Inventaire M-1'!$A$2:$AG$9334,MATCH(R222,'Inventaire M-1'!$A:$A,0)-1,MATCH("Cours EUR",'Inventaire M-1'!#REF!,0)))</f>
        <v>#REF!</v>
      </c>
      <c r="V222" s="175" t="e">
        <f>IF(R222="-","",IF(ISERROR(INDEX('Inventaire M'!$A$2:$AD$9319,MATCH(R222,'Inventaire M'!$A:$A,0)-1,MATCH("Cours EUR",'Inventaire M'!#REF!,0))),"Sell",INDEX('Inventaire M'!$A$2:$AD$9319,MATCH(R222,'Inventaire M'!$A:$A,0)-1,MATCH("Cours EUR",'Inventaire M'!#REF!,0))))</f>
        <v>#REF!</v>
      </c>
      <c r="W222" s="175"/>
      <c r="X222" s="156" t="e">
        <f>IF(R222="-","",INDEX('Inventaire M-1'!$A$2:$AG$9334,MATCH(R222,'Inventaire M-1'!$A:$A,0)-1,MATCH("quantite",'Inventaire M-1'!#REF!,0)))</f>
        <v>#REF!</v>
      </c>
      <c r="Y222" s="156" t="e">
        <f>IF(S222="-","",IF(ISERROR(INDEX('Inventaire M'!$A$2:$AD$9319,MATCH(R222,'Inventaire M'!$A:$A,0)-1,MATCH("quantite",'Inventaire M'!#REF!,0))),"Sell",INDEX('Inventaire M'!$A$2:$AD$9319,MATCH(R222,'Inventaire M'!$A:$A,0)-1,MATCH("quantite",'Inventaire M'!#REF!,0))))</f>
        <v>#REF!</v>
      </c>
      <c r="Z222" s="175"/>
      <c r="AA222" s="155" t="e">
        <f>IF(R222="-","",INDEX('Inventaire M-1'!$A$2:$AG$9334,MATCH(R222,'Inventaire M-1'!$A:$A,0)-1,MATCH("poids",'Inventaire M-1'!#REF!,0)))</f>
        <v>#REF!</v>
      </c>
      <c r="AB222" s="155" t="e">
        <f>IF(R222="-","",IF(ISERROR(INDEX('Inventaire M'!$A$2:$AD$9319,MATCH(R222,'Inventaire M'!$A:$A,0)-1,MATCH("poids",'Inventaire M'!#REF!,0))),"Sell",INDEX('Inventaire M'!$A$2:$AD$9319,MATCH(R222,'Inventaire M'!$A:$A,0)-1,MATCH("poids",'Inventaire M'!#REF!,0))))</f>
        <v>#REF!</v>
      </c>
      <c r="AC222" s="175"/>
      <c r="AD222" s="157" t="str">
        <f t="shared" si="27"/>
        <v>0</v>
      </c>
      <c r="AE222" s="98" t="str">
        <f t="shared" si="28"/>
        <v/>
      </c>
      <c r="AF222" s="80" t="e">
        <f t="shared" si="29"/>
        <v>#REF!</v>
      </c>
    </row>
    <row r="223" spans="2:32" outlineLevel="1">
      <c r="B223" s="175" t="e">
        <f>IF(OR('Inventaire M'!#REF!="Dispo/Liquidité Investie",'Inventaire M'!#REF!="Option/Future",'Inventaire M'!#REF!="TCN",'Inventaire M'!#REF!=""),"-",'Inventaire M'!#REF!)</f>
        <v>#REF!</v>
      </c>
      <c r="C223" s="175" t="e">
        <f>IF(OR('Inventaire M'!#REF!="Dispo/Liquidité Investie",'Inventaire M'!#REF!="Option/Future",'Inventaire M'!#REF!="TCN",'Inventaire M'!#REF!=""),"-",'Inventaire M'!#REF!)</f>
        <v>#REF!</v>
      </c>
      <c r="D223" s="175"/>
      <c r="E223" s="175" t="e">
        <f>IF(B223="-","",INDEX('Inventaire M'!$A$2:$AW$9305,MATCH(B223,'Inventaire M'!$A:$A,0)-1,MATCH("Cours EUR",'Inventaire M'!#REF!,0)))</f>
        <v>#REF!</v>
      </c>
      <c r="F223" s="175" t="e">
        <f>IF(B223="-","",IF(ISERROR(INDEX('Inventaire M-1'!$A$2:$AZ$9320,MATCH(B223,'Inventaire M-1'!$A:$A,0)-1,MATCH("Cours EUR",'Inventaire M-1'!#REF!,0))),"Buy",INDEX('Inventaire M-1'!$A$2:$AZ$9320,MATCH(B223,'Inventaire M-1'!$A:$A,0)-1,MATCH("Cours EUR",'Inventaire M-1'!#REF!,0))))</f>
        <v>#REF!</v>
      </c>
      <c r="G223" s="175"/>
      <c r="H223" s="156" t="e">
        <f>IF(B223="-","",INDEX('Inventaire M'!$A$2:$AW$9305,MATCH(B223,'Inventaire M'!$A:$A,0)-1,MATCH("quantite",'Inventaire M'!#REF!,0)))</f>
        <v>#REF!</v>
      </c>
      <c r="I223" s="156" t="e">
        <f>IF(C223="-","",IF(ISERROR(INDEX('Inventaire M-1'!$A$2:$AZ$9320,MATCH(B223,'Inventaire M-1'!$A:$A,0)-1,MATCH("quantite",'Inventaire M-1'!#REF!,0))),"Buy",INDEX('Inventaire M-1'!$A$2:$AZ$9320,MATCH(B223,'Inventaire M-1'!$A:$A,0)-1,MATCH("quantite",'Inventaire M-1'!#REF!,0))))</f>
        <v>#REF!</v>
      </c>
      <c r="J223" s="175"/>
      <c r="K223" s="155" t="e">
        <f>IF(B223="-","",INDEX('Inventaire M'!$A$2:$AW$9305,MATCH(B223,'Inventaire M'!$A:$A,0)-1,MATCH("poids",'Inventaire M'!#REF!,0)))</f>
        <v>#REF!</v>
      </c>
      <c r="L223" s="155" t="e">
        <f>IF(B223="-","",IF(ISERROR(INDEX('Inventaire M-1'!$A$2:$AZ$9320,MATCH(B223,'Inventaire M-1'!$A:$A,0)-1,MATCH("poids",'Inventaire M-1'!#REF!,0))),"Buy",INDEX('Inventaire M-1'!$A$2:$AZ$9320,MATCH(B223,'Inventaire M-1'!$A:$A,0)-1,MATCH("poids",'Inventaire M-1'!#REF!,0))))</f>
        <v>#REF!</v>
      </c>
      <c r="M223" s="175"/>
      <c r="N223" s="157" t="str">
        <f t="shared" si="24"/>
        <v>0</v>
      </c>
      <c r="O223" s="98" t="str">
        <f t="shared" si="25"/>
        <v/>
      </c>
      <c r="P223" s="80" t="e">
        <f t="shared" si="26"/>
        <v>#REF!</v>
      </c>
      <c r="Q223" s="75">
        <v>1.99E-8</v>
      </c>
      <c r="R223" s="175" t="e">
        <f>IF(OR('Inventaire M-1'!#REF!="Dispo/Liquidité Investie",'Inventaire M-1'!#REF!="Option/Future",'Inventaire M-1'!#REF!="TCN",'Inventaire M-1'!#REF!=""),"-",'Inventaire M-1'!#REF!)</f>
        <v>#REF!</v>
      </c>
      <c r="S223" s="175" t="e">
        <f>IF(OR('Inventaire M-1'!#REF!="Dispo/Liquidité Investie",'Inventaire M-1'!#REF!="Option/Future",'Inventaire M-1'!#REF!="TCN",'Inventaire M-1'!#REF!=""),"-",'Inventaire M-1'!#REF!)</f>
        <v>#REF!</v>
      </c>
      <c r="T223" s="175"/>
      <c r="U223" s="175" t="e">
        <f>IF(R223="-","",INDEX('Inventaire M-1'!$A$2:$AG$9334,MATCH(R223,'Inventaire M-1'!$A:$A,0)-1,MATCH("Cours EUR",'Inventaire M-1'!#REF!,0)))</f>
        <v>#REF!</v>
      </c>
      <c r="V223" s="175" t="e">
        <f>IF(R223="-","",IF(ISERROR(INDEX('Inventaire M'!$A$2:$AD$9319,MATCH(R223,'Inventaire M'!$A:$A,0)-1,MATCH("Cours EUR",'Inventaire M'!#REF!,0))),"Sell",INDEX('Inventaire M'!$A$2:$AD$9319,MATCH(R223,'Inventaire M'!$A:$A,0)-1,MATCH("Cours EUR",'Inventaire M'!#REF!,0))))</f>
        <v>#REF!</v>
      </c>
      <c r="W223" s="175"/>
      <c r="X223" s="156" t="e">
        <f>IF(R223="-","",INDEX('Inventaire M-1'!$A$2:$AG$9334,MATCH(R223,'Inventaire M-1'!$A:$A,0)-1,MATCH("quantite",'Inventaire M-1'!#REF!,0)))</f>
        <v>#REF!</v>
      </c>
      <c r="Y223" s="156" t="e">
        <f>IF(S223="-","",IF(ISERROR(INDEX('Inventaire M'!$A$2:$AD$9319,MATCH(R223,'Inventaire M'!$A:$A,0)-1,MATCH("quantite",'Inventaire M'!#REF!,0))),"Sell",INDEX('Inventaire M'!$A$2:$AD$9319,MATCH(R223,'Inventaire M'!$A:$A,0)-1,MATCH("quantite",'Inventaire M'!#REF!,0))))</f>
        <v>#REF!</v>
      </c>
      <c r="Z223" s="175"/>
      <c r="AA223" s="155" t="e">
        <f>IF(R223="-","",INDEX('Inventaire M-1'!$A$2:$AG$9334,MATCH(R223,'Inventaire M-1'!$A:$A,0)-1,MATCH("poids",'Inventaire M-1'!#REF!,0)))</f>
        <v>#REF!</v>
      </c>
      <c r="AB223" s="155" t="e">
        <f>IF(R223="-","",IF(ISERROR(INDEX('Inventaire M'!$A$2:$AD$9319,MATCH(R223,'Inventaire M'!$A:$A,0)-1,MATCH("poids",'Inventaire M'!#REF!,0))),"Sell",INDEX('Inventaire M'!$A$2:$AD$9319,MATCH(R223,'Inventaire M'!$A:$A,0)-1,MATCH("poids",'Inventaire M'!#REF!,0))))</f>
        <v>#REF!</v>
      </c>
      <c r="AC223" s="175"/>
      <c r="AD223" s="157" t="str">
        <f t="shared" si="27"/>
        <v>0</v>
      </c>
      <c r="AE223" s="98" t="str">
        <f t="shared" si="28"/>
        <v/>
      </c>
      <c r="AF223" s="80" t="e">
        <f t="shared" si="29"/>
        <v>#REF!</v>
      </c>
    </row>
    <row r="224" spans="2:32" outlineLevel="1">
      <c r="B224" s="175" t="str">
        <f>IF(OR('Inventaire M'!D2="Dispo/Liquidité Investie",'Inventaire M'!D2="Option/Future",'Inventaire M'!D2="TCN",'Inventaire M'!D2=""),"-",'Inventaire M'!A2)</f>
        <v>codeIsinTitre</v>
      </c>
      <c r="C224" s="175" t="str">
        <f>IF(OR('Inventaire M'!D2="Dispo/Liquidité Investie",'Inventaire M'!D2="Option/Future",'Inventaire M'!D2="TCN",'Inventaire M'!D2=""),"-",'Inventaire M'!B2)</f>
        <v>libelleTitreReferentiel</v>
      </c>
      <c r="D224" s="175"/>
      <c r="E224" s="175" t="e">
        <f>IF(B224="-","",INDEX('Inventaire M'!$A$2:$AW$9305,MATCH(B224,'Inventaire M'!$A:$A,0)-1,MATCH("Cours EUR",'Inventaire M'!#REF!,0)))</f>
        <v>#REF!</v>
      </c>
      <c r="F224" s="175" t="str">
        <f>IF(B224="-","",IF(ISERROR(INDEX('Inventaire M-1'!$A$2:$AZ$9320,MATCH(B224,'Inventaire M-1'!$A:$A,0)-1,MATCH("Cours EUR",'Inventaire M-1'!#REF!,0))),"Buy",INDEX('Inventaire M-1'!$A$2:$AZ$9320,MATCH(B224,'Inventaire M-1'!$A:$A,0)-1,MATCH("Cours EUR",'Inventaire M-1'!#REF!,0))))</f>
        <v>Buy</v>
      </c>
      <c r="G224" s="175"/>
      <c r="H224" s="156" t="e">
        <f>IF(B224="-","",INDEX('Inventaire M'!$A$2:$AW$9305,MATCH(B224,'Inventaire M'!$A:$A,0)-1,MATCH("quantite",'Inventaire M'!#REF!,0)))</f>
        <v>#REF!</v>
      </c>
      <c r="I224" s="156" t="str">
        <f>IF(C224="-","",IF(ISERROR(INDEX('Inventaire M-1'!$A$2:$AZ$9320,MATCH(B224,'Inventaire M-1'!$A:$A,0)-1,MATCH("quantite",'Inventaire M-1'!#REF!,0))),"Buy",INDEX('Inventaire M-1'!$A$2:$AZ$9320,MATCH(B224,'Inventaire M-1'!$A:$A,0)-1,MATCH("quantite",'Inventaire M-1'!#REF!,0))))</f>
        <v>Buy</v>
      </c>
      <c r="J224" s="175"/>
      <c r="K224" s="155" t="e">
        <f>IF(B224="-","",INDEX('Inventaire M'!$A$2:$AW$9305,MATCH(B224,'Inventaire M'!$A:$A,0)-1,MATCH("poids",'Inventaire M'!#REF!,0)))</f>
        <v>#REF!</v>
      </c>
      <c r="L224" s="155" t="str">
        <f>IF(B224="-","",IF(ISERROR(INDEX('Inventaire M-1'!$A$2:$AZ$9320,MATCH(B224,'Inventaire M-1'!$A:$A,0)-1,MATCH("poids",'Inventaire M-1'!#REF!,0))),"Buy",INDEX('Inventaire M-1'!$A$2:$AZ$9320,MATCH(B224,'Inventaire M-1'!$A:$A,0)-1,MATCH("poids",'Inventaire M-1'!#REF!,0))))</f>
        <v>Buy</v>
      </c>
      <c r="M224" s="175"/>
      <c r="N224" s="157" t="str">
        <f t="shared" si="24"/>
        <v>0</v>
      </c>
      <c r="O224" s="98" t="str">
        <f t="shared" si="25"/>
        <v/>
      </c>
      <c r="P224" s="80" t="str">
        <f t="shared" si="26"/>
        <v>libelleTitreReferentiel</v>
      </c>
      <c r="Q224" s="75">
        <v>2E-8</v>
      </c>
      <c r="R224" s="175" t="e">
        <f>IF(OR('Inventaire M-1'!#REF!="Dispo/Liquidité Investie",'Inventaire M-1'!#REF!="Option/Future",'Inventaire M-1'!#REF!="TCN",'Inventaire M-1'!#REF!=""),"-",'Inventaire M-1'!#REF!)</f>
        <v>#REF!</v>
      </c>
      <c r="S224" s="175" t="e">
        <f>IF(OR('Inventaire M-1'!#REF!="Dispo/Liquidité Investie",'Inventaire M-1'!#REF!="Option/Future",'Inventaire M-1'!#REF!="TCN",'Inventaire M-1'!#REF!=""),"-",'Inventaire M-1'!#REF!)</f>
        <v>#REF!</v>
      </c>
      <c r="T224" s="175"/>
      <c r="U224" s="175" t="e">
        <f>IF(R224="-","",INDEX('Inventaire M-1'!$A$2:$AG$9334,MATCH(R224,'Inventaire M-1'!$A:$A,0)-1,MATCH("Cours EUR",'Inventaire M-1'!#REF!,0)))</f>
        <v>#REF!</v>
      </c>
      <c r="V224" s="175" t="e">
        <f>IF(R224="-","",IF(ISERROR(INDEX('Inventaire M'!$A$2:$AD$9319,MATCH(R224,'Inventaire M'!$A:$A,0)-1,MATCH("Cours EUR",'Inventaire M'!#REF!,0))),"Sell",INDEX('Inventaire M'!$A$2:$AD$9319,MATCH(R224,'Inventaire M'!$A:$A,0)-1,MATCH("Cours EUR",'Inventaire M'!#REF!,0))))</f>
        <v>#REF!</v>
      </c>
      <c r="W224" s="175"/>
      <c r="X224" s="156" t="e">
        <f>IF(R224="-","",INDEX('Inventaire M-1'!$A$2:$AG$9334,MATCH(R224,'Inventaire M-1'!$A:$A,0)-1,MATCH("quantite",'Inventaire M-1'!#REF!,0)))</f>
        <v>#REF!</v>
      </c>
      <c r="Y224" s="156" t="e">
        <f>IF(S224="-","",IF(ISERROR(INDEX('Inventaire M'!$A$2:$AD$9319,MATCH(R224,'Inventaire M'!$A:$A,0)-1,MATCH("quantite",'Inventaire M'!#REF!,0))),"Sell",INDEX('Inventaire M'!$A$2:$AD$9319,MATCH(R224,'Inventaire M'!$A:$A,0)-1,MATCH("quantite",'Inventaire M'!#REF!,0))))</f>
        <v>#REF!</v>
      </c>
      <c r="Z224" s="175"/>
      <c r="AA224" s="155" t="e">
        <f>IF(R224="-","",INDEX('Inventaire M-1'!$A$2:$AG$9334,MATCH(R224,'Inventaire M-1'!$A:$A,0)-1,MATCH("poids",'Inventaire M-1'!#REF!,0)))</f>
        <v>#REF!</v>
      </c>
      <c r="AB224" s="155" t="e">
        <f>IF(R224="-","",IF(ISERROR(INDEX('Inventaire M'!$A$2:$AD$9319,MATCH(R224,'Inventaire M'!$A:$A,0)-1,MATCH("poids",'Inventaire M'!#REF!,0))),"Sell",INDEX('Inventaire M'!$A$2:$AD$9319,MATCH(R224,'Inventaire M'!$A:$A,0)-1,MATCH("poids",'Inventaire M'!#REF!,0))))</f>
        <v>#REF!</v>
      </c>
      <c r="AC224" s="175"/>
      <c r="AD224" s="157" t="str">
        <f t="shared" si="27"/>
        <v>0</v>
      </c>
      <c r="AE224" s="98" t="str">
        <f t="shared" si="28"/>
        <v/>
      </c>
      <c r="AF224" s="80" t="e">
        <f t="shared" si="29"/>
        <v>#REF!</v>
      </c>
    </row>
    <row r="225" spans="2:32" outlineLevel="1">
      <c r="B225" s="175" t="str">
        <f>IF(OR('Inventaire M'!D3="Dispo/Liquidité Investie",'Inventaire M'!D3="Option/Future",'Inventaire M'!D3="TCN",'Inventaire M'!D3=""),"-",'Inventaire M'!A3)</f>
        <v xml:space="preserve"> </v>
      </c>
      <c r="C225" s="175" t="str">
        <f>IF(OR('Inventaire M'!D3="Dispo/Liquidité Investie",'Inventaire M'!D3="Option/Future",'Inventaire M'!D3="TCN",'Inventaire M'!D3=""),"-",'Inventaire M'!B3)</f>
        <v>Disponibilié</v>
      </c>
      <c r="D225" s="175"/>
      <c r="E225" s="175" t="e">
        <f>IF(B225="-","",INDEX('Inventaire M'!$A$2:$AW$9305,MATCH(B225,'Inventaire M'!$A:$A,0)-1,MATCH("Cours EUR",'Inventaire M'!#REF!,0)))</f>
        <v>#REF!</v>
      </c>
      <c r="F225" s="175" t="str">
        <f>IF(B225="-","",IF(ISERROR(INDEX('Inventaire M-1'!$A$2:$AZ$9320,MATCH(B225,'Inventaire M-1'!$A:$A,0)-1,MATCH("Cours EUR",'Inventaire M-1'!#REF!,0))),"Buy",INDEX('Inventaire M-1'!$A$2:$AZ$9320,MATCH(B225,'Inventaire M-1'!$A:$A,0)-1,MATCH("Cours EUR",'Inventaire M-1'!#REF!,0))))</f>
        <v>Buy</v>
      </c>
      <c r="G225" s="175"/>
      <c r="H225" s="156" t="e">
        <f>IF(B225="-","",INDEX('Inventaire M'!$A$2:$AW$9305,MATCH(B225,'Inventaire M'!$A:$A,0)-1,MATCH("quantite",'Inventaire M'!#REF!,0)))</f>
        <v>#REF!</v>
      </c>
      <c r="I225" s="156" t="str">
        <f>IF(C225="-","",IF(ISERROR(INDEX('Inventaire M-1'!$A$2:$AZ$9320,MATCH(B225,'Inventaire M-1'!$A:$A,0)-1,MATCH("quantite",'Inventaire M-1'!#REF!,0))),"Buy",INDEX('Inventaire M-1'!$A$2:$AZ$9320,MATCH(B225,'Inventaire M-1'!$A:$A,0)-1,MATCH("quantite",'Inventaire M-1'!#REF!,0))))</f>
        <v>Buy</v>
      </c>
      <c r="J225" s="175"/>
      <c r="K225" s="155" t="e">
        <f>IF(B225="-","",INDEX('Inventaire M'!$A$2:$AW$9305,MATCH(B225,'Inventaire M'!$A:$A,0)-1,MATCH("poids",'Inventaire M'!#REF!,0)))</f>
        <v>#REF!</v>
      </c>
      <c r="L225" s="155" t="str">
        <f>IF(B225="-","",IF(ISERROR(INDEX('Inventaire M-1'!$A$2:$AZ$9320,MATCH(B225,'Inventaire M-1'!$A:$A,0)-1,MATCH("poids",'Inventaire M-1'!#REF!,0))),"Buy",INDEX('Inventaire M-1'!$A$2:$AZ$9320,MATCH(B225,'Inventaire M-1'!$A:$A,0)-1,MATCH("poids",'Inventaire M-1'!#REF!,0))))</f>
        <v>Buy</v>
      </c>
      <c r="M225" s="175"/>
      <c r="N225" s="157" t="str">
        <f t="shared" si="24"/>
        <v>0</v>
      </c>
      <c r="O225" s="98" t="str">
        <f t="shared" si="25"/>
        <v/>
      </c>
      <c r="P225" s="80" t="str">
        <f t="shared" si="26"/>
        <v>Disponibilié</v>
      </c>
      <c r="Q225" s="75">
        <v>2.0100000000000001E-8</v>
      </c>
      <c r="R225" s="175" t="e">
        <f>IF(OR('Inventaire M-1'!#REF!="Dispo/Liquidité Investie",'Inventaire M-1'!#REF!="Option/Future",'Inventaire M-1'!#REF!="TCN",'Inventaire M-1'!#REF!=""),"-",'Inventaire M-1'!#REF!)</f>
        <v>#REF!</v>
      </c>
      <c r="S225" s="175" t="e">
        <f>IF(OR('Inventaire M-1'!#REF!="Dispo/Liquidité Investie",'Inventaire M-1'!#REF!="Option/Future",'Inventaire M-1'!#REF!="TCN",'Inventaire M-1'!#REF!=""),"-",'Inventaire M-1'!#REF!)</f>
        <v>#REF!</v>
      </c>
      <c r="T225" s="175"/>
      <c r="U225" s="175" t="e">
        <f>IF(R225="-","",INDEX('Inventaire M-1'!$A$2:$AG$9334,MATCH(R225,'Inventaire M-1'!$A:$A,0)-1,MATCH("Cours EUR",'Inventaire M-1'!#REF!,0)))</f>
        <v>#REF!</v>
      </c>
      <c r="V225" s="175" t="e">
        <f>IF(R225="-","",IF(ISERROR(INDEX('Inventaire M'!$A$2:$AD$9319,MATCH(R225,'Inventaire M'!$A:$A,0)-1,MATCH("Cours EUR",'Inventaire M'!#REF!,0))),"Sell",INDEX('Inventaire M'!$A$2:$AD$9319,MATCH(R225,'Inventaire M'!$A:$A,0)-1,MATCH("Cours EUR",'Inventaire M'!#REF!,0))))</f>
        <v>#REF!</v>
      </c>
      <c r="W225" s="175"/>
      <c r="X225" s="156" t="e">
        <f>IF(R225="-","",INDEX('Inventaire M-1'!$A$2:$AG$9334,MATCH(R225,'Inventaire M-1'!$A:$A,0)-1,MATCH("quantite",'Inventaire M-1'!#REF!,0)))</f>
        <v>#REF!</v>
      </c>
      <c r="Y225" s="156" t="e">
        <f>IF(S225="-","",IF(ISERROR(INDEX('Inventaire M'!$A$2:$AD$9319,MATCH(R225,'Inventaire M'!$A:$A,0)-1,MATCH("quantite",'Inventaire M'!#REF!,0))),"Sell",INDEX('Inventaire M'!$A$2:$AD$9319,MATCH(R225,'Inventaire M'!$A:$A,0)-1,MATCH("quantite",'Inventaire M'!#REF!,0))))</f>
        <v>#REF!</v>
      </c>
      <c r="Z225" s="175"/>
      <c r="AA225" s="155" t="e">
        <f>IF(R225="-","",INDEX('Inventaire M-1'!$A$2:$AG$9334,MATCH(R225,'Inventaire M-1'!$A:$A,0)-1,MATCH("poids",'Inventaire M-1'!#REF!,0)))</f>
        <v>#REF!</v>
      </c>
      <c r="AB225" s="155" t="e">
        <f>IF(R225="-","",IF(ISERROR(INDEX('Inventaire M'!$A$2:$AD$9319,MATCH(R225,'Inventaire M'!$A:$A,0)-1,MATCH("poids",'Inventaire M'!#REF!,0))),"Sell",INDEX('Inventaire M'!$A$2:$AD$9319,MATCH(R225,'Inventaire M'!$A:$A,0)-1,MATCH("poids",'Inventaire M'!#REF!,0))))</f>
        <v>#REF!</v>
      </c>
      <c r="AC225" s="175"/>
      <c r="AD225" s="157" t="str">
        <f t="shared" si="27"/>
        <v>0</v>
      </c>
      <c r="AE225" s="98" t="str">
        <f t="shared" si="28"/>
        <v/>
      </c>
      <c r="AF225" s="80" t="e">
        <f t="shared" si="29"/>
        <v>#REF!</v>
      </c>
    </row>
    <row r="226" spans="2:32" outlineLevel="1">
      <c r="B226" s="175" t="str">
        <f>IF(OR('Inventaire M'!D4="Dispo/Liquidité Investie",'Inventaire M'!D4="Option/Future",'Inventaire M'!D4="TCN",'Inventaire M'!D4=""),"-",'Inventaire M'!A4)</f>
        <v>-</v>
      </c>
      <c r="C226" s="175" t="str">
        <f>IF(OR('Inventaire M'!D4="Dispo/Liquidité Investie",'Inventaire M'!D4="Option/Future",'Inventaire M'!D4="TCN",'Inventaire M'!D4=""),"-",'Inventaire M'!B4)</f>
        <v>-</v>
      </c>
      <c r="D226" s="175"/>
      <c r="E226" s="175" t="str">
        <f>IF(B226="-","",INDEX('Inventaire M'!$A$2:$AW$9305,MATCH(B226,'Inventaire M'!$A:$A,0)-1,MATCH("Cours EUR",'Inventaire M'!#REF!,0)))</f>
        <v/>
      </c>
      <c r="F226" s="175" t="str">
        <f>IF(B226="-","",IF(ISERROR(INDEX('Inventaire M-1'!$A$2:$AZ$9320,MATCH(B226,'Inventaire M-1'!$A:$A,0)-1,MATCH("Cours EUR",'Inventaire M-1'!#REF!,0))),"Buy",INDEX('Inventaire M-1'!$A$2:$AZ$9320,MATCH(B226,'Inventaire M-1'!$A:$A,0)-1,MATCH("Cours EUR",'Inventaire M-1'!#REF!,0))))</f>
        <v/>
      </c>
      <c r="G226" s="175"/>
      <c r="H226" s="156" t="str">
        <f>IF(B226="-","",INDEX('Inventaire M'!$A$2:$AW$9305,MATCH(B226,'Inventaire M'!$A:$A,0)-1,MATCH("quantite",'Inventaire M'!#REF!,0)))</f>
        <v/>
      </c>
      <c r="I226" s="156" t="str">
        <f>IF(C226="-","",IF(ISERROR(INDEX('Inventaire M-1'!$A$2:$AZ$9320,MATCH(B226,'Inventaire M-1'!$A:$A,0)-1,MATCH("quantite",'Inventaire M-1'!#REF!,0))),"Buy",INDEX('Inventaire M-1'!$A$2:$AZ$9320,MATCH(B226,'Inventaire M-1'!$A:$A,0)-1,MATCH("quantite",'Inventaire M-1'!#REF!,0))))</f>
        <v/>
      </c>
      <c r="J226" s="175"/>
      <c r="K226" s="155" t="str">
        <f>IF(B226="-","",INDEX('Inventaire M'!$A$2:$AW$9305,MATCH(B226,'Inventaire M'!$A:$A,0)-1,MATCH("poids",'Inventaire M'!#REF!,0)))</f>
        <v/>
      </c>
      <c r="L226" s="155" t="str">
        <f>IF(B226="-","",IF(ISERROR(INDEX('Inventaire M-1'!$A$2:$AZ$9320,MATCH(B226,'Inventaire M-1'!$A:$A,0)-1,MATCH("poids",'Inventaire M-1'!#REF!,0))),"Buy",INDEX('Inventaire M-1'!$A$2:$AZ$9320,MATCH(B226,'Inventaire M-1'!$A:$A,0)-1,MATCH("poids",'Inventaire M-1'!#REF!,0))))</f>
        <v/>
      </c>
      <c r="M226" s="175"/>
      <c r="N226" s="157" t="str">
        <f t="shared" si="24"/>
        <v>0</v>
      </c>
      <c r="O226" s="98" t="str">
        <f t="shared" si="25"/>
        <v/>
      </c>
      <c r="P226" s="80" t="str">
        <f t="shared" si="26"/>
        <v>-</v>
      </c>
      <c r="Q226" s="75">
        <v>2.0199999999999999E-8</v>
      </c>
      <c r="R226" s="175" t="e">
        <f>IF(OR('Inventaire M-1'!#REF!="Dispo/Liquidité Investie",'Inventaire M-1'!#REF!="Option/Future",'Inventaire M-1'!#REF!="TCN",'Inventaire M-1'!#REF!=""),"-",'Inventaire M-1'!#REF!)</f>
        <v>#REF!</v>
      </c>
      <c r="S226" s="175" t="e">
        <f>IF(OR('Inventaire M-1'!#REF!="Dispo/Liquidité Investie",'Inventaire M-1'!#REF!="Option/Future",'Inventaire M-1'!#REF!="TCN",'Inventaire M-1'!#REF!=""),"-",'Inventaire M-1'!#REF!)</f>
        <v>#REF!</v>
      </c>
      <c r="T226" s="175"/>
      <c r="U226" s="175" t="e">
        <f>IF(R226="-","",INDEX('Inventaire M-1'!$A$2:$AG$9334,MATCH(R226,'Inventaire M-1'!$A:$A,0)-1,MATCH("Cours EUR",'Inventaire M-1'!#REF!,0)))</f>
        <v>#REF!</v>
      </c>
      <c r="V226" s="175" t="e">
        <f>IF(R226="-","",IF(ISERROR(INDEX('Inventaire M'!$A$2:$AD$9319,MATCH(R226,'Inventaire M'!$A:$A,0)-1,MATCH("Cours EUR",'Inventaire M'!#REF!,0))),"Sell",INDEX('Inventaire M'!$A$2:$AD$9319,MATCH(R226,'Inventaire M'!$A:$A,0)-1,MATCH("Cours EUR",'Inventaire M'!#REF!,0))))</f>
        <v>#REF!</v>
      </c>
      <c r="W226" s="175"/>
      <c r="X226" s="156" t="e">
        <f>IF(R226="-","",INDEX('Inventaire M-1'!$A$2:$AG$9334,MATCH(R226,'Inventaire M-1'!$A:$A,0)-1,MATCH("quantite",'Inventaire M-1'!#REF!,0)))</f>
        <v>#REF!</v>
      </c>
      <c r="Y226" s="156" t="e">
        <f>IF(S226="-","",IF(ISERROR(INDEX('Inventaire M'!$A$2:$AD$9319,MATCH(R226,'Inventaire M'!$A:$A,0)-1,MATCH("quantite",'Inventaire M'!#REF!,0))),"Sell",INDEX('Inventaire M'!$A$2:$AD$9319,MATCH(R226,'Inventaire M'!$A:$A,0)-1,MATCH("quantite",'Inventaire M'!#REF!,0))))</f>
        <v>#REF!</v>
      </c>
      <c r="Z226" s="175"/>
      <c r="AA226" s="155" t="e">
        <f>IF(R226="-","",INDEX('Inventaire M-1'!$A$2:$AG$9334,MATCH(R226,'Inventaire M-1'!$A:$A,0)-1,MATCH("poids",'Inventaire M-1'!#REF!,0)))</f>
        <v>#REF!</v>
      </c>
      <c r="AB226" s="155" t="e">
        <f>IF(R226="-","",IF(ISERROR(INDEX('Inventaire M'!$A$2:$AD$9319,MATCH(R226,'Inventaire M'!$A:$A,0)-1,MATCH("poids",'Inventaire M'!#REF!,0))),"Sell",INDEX('Inventaire M'!$A$2:$AD$9319,MATCH(R226,'Inventaire M'!$A:$A,0)-1,MATCH("poids",'Inventaire M'!#REF!,0))))</f>
        <v>#REF!</v>
      </c>
      <c r="AC226" s="175"/>
      <c r="AD226" s="157" t="str">
        <f t="shared" si="27"/>
        <v>0</v>
      </c>
      <c r="AE226" s="98" t="str">
        <f t="shared" si="28"/>
        <v/>
      </c>
      <c r="AF226" s="80" t="e">
        <f t="shared" si="29"/>
        <v>#REF!</v>
      </c>
    </row>
    <row r="227" spans="2:32" outlineLevel="1">
      <c r="B227" s="175" t="str">
        <f>IF(OR('Inventaire M'!D5="Dispo/Liquidité Investie",'Inventaire M'!D5="Option/Future",'Inventaire M'!D5="TCN",'Inventaire M'!D5=""),"-",'Inventaire M'!A5)</f>
        <v>BE6342263157</v>
      </c>
      <c r="C227" s="175" t="str">
        <f>IF(OR('Inventaire M'!D5="Dispo/Liquidité Investie",'Inventaire M'!D5="Option/Future",'Inventaire M'!D5="TCN",'Inventaire M'!D5=""),"-",'Inventaire M'!B5)</f>
        <v>AZELIS FINANCE NV 5.75 15/03/2028</v>
      </c>
      <c r="D227" s="175"/>
      <c r="E227" s="175" t="e">
        <f>IF(B227="-","",INDEX('Inventaire M'!$A$2:$AW$9305,MATCH(B227,'Inventaire M'!$A:$A,0)-1,MATCH("Cours EUR",'Inventaire M'!#REF!,0)))</f>
        <v>#REF!</v>
      </c>
      <c r="F227" s="175" t="str">
        <f>IF(B227="-","",IF(ISERROR(INDEX('Inventaire M-1'!$A$2:$AZ$9320,MATCH(B227,'Inventaire M-1'!$A:$A,0)-1,MATCH("Cours EUR",'Inventaire M-1'!#REF!,0))),"Buy",INDEX('Inventaire M-1'!$A$2:$AZ$9320,MATCH(B227,'Inventaire M-1'!$A:$A,0)-1,MATCH("Cours EUR",'Inventaire M-1'!#REF!,0))))</f>
        <v>Buy</v>
      </c>
      <c r="G227" s="175"/>
      <c r="H227" s="156" t="e">
        <f>IF(B227="-","",INDEX('Inventaire M'!$A$2:$AW$9305,MATCH(B227,'Inventaire M'!$A:$A,0)-1,MATCH("quantite",'Inventaire M'!#REF!,0)))</f>
        <v>#REF!</v>
      </c>
      <c r="I227" s="156" t="str">
        <f>IF(C227="-","",IF(ISERROR(INDEX('Inventaire M-1'!$A$2:$AZ$9320,MATCH(B227,'Inventaire M-1'!$A:$A,0)-1,MATCH("quantite",'Inventaire M-1'!#REF!,0))),"Buy",INDEX('Inventaire M-1'!$A$2:$AZ$9320,MATCH(B227,'Inventaire M-1'!$A:$A,0)-1,MATCH("quantite",'Inventaire M-1'!#REF!,0))))</f>
        <v>Buy</v>
      </c>
      <c r="J227" s="175"/>
      <c r="K227" s="155" t="e">
        <f>IF(B227="-","",INDEX('Inventaire M'!$A$2:$AW$9305,MATCH(B227,'Inventaire M'!$A:$A,0)-1,MATCH("poids",'Inventaire M'!#REF!,0)))</f>
        <v>#REF!</v>
      </c>
      <c r="L227" s="155" t="str">
        <f>IF(B227="-","",IF(ISERROR(INDEX('Inventaire M-1'!$A$2:$AZ$9320,MATCH(B227,'Inventaire M-1'!$A:$A,0)-1,MATCH("poids",'Inventaire M-1'!#REF!,0))),"Buy",INDEX('Inventaire M-1'!$A$2:$AZ$9320,MATCH(B227,'Inventaire M-1'!$A:$A,0)-1,MATCH("poids",'Inventaire M-1'!#REF!,0))))</f>
        <v>Buy</v>
      </c>
      <c r="M227" s="175"/>
      <c r="N227" s="157" t="str">
        <f t="shared" si="24"/>
        <v>0</v>
      </c>
      <c r="O227" s="98" t="str">
        <f t="shared" si="25"/>
        <v/>
      </c>
      <c r="P227" s="80" t="str">
        <f t="shared" si="26"/>
        <v>AZELIS FINANCE NV 5.75 15/03/2028</v>
      </c>
      <c r="Q227" s="75">
        <v>2.03E-8</v>
      </c>
      <c r="R227" s="175" t="e">
        <f>IF(OR('Inventaire M-1'!#REF!="Dispo/Liquidité Investie",'Inventaire M-1'!#REF!="Option/Future",'Inventaire M-1'!#REF!="TCN",'Inventaire M-1'!#REF!=""),"-",'Inventaire M-1'!#REF!)</f>
        <v>#REF!</v>
      </c>
      <c r="S227" s="175" t="e">
        <f>IF(OR('Inventaire M-1'!#REF!="Dispo/Liquidité Investie",'Inventaire M-1'!#REF!="Option/Future",'Inventaire M-1'!#REF!="TCN",'Inventaire M-1'!#REF!=""),"-",'Inventaire M-1'!#REF!)</f>
        <v>#REF!</v>
      </c>
      <c r="T227" s="175"/>
      <c r="U227" s="175" t="e">
        <f>IF(R227="-","",INDEX('Inventaire M-1'!$A$2:$AG$9334,MATCH(R227,'Inventaire M-1'!$A:$A,0)-1,MATCH("Cours EUR",'Inventaire M-1'!#REF!,0)))</f>
        <v>#REF!</v>
      </c>
      <c r="V227" s="175" t="e">
        <f>IF(R227="-","",IF(ISERROR(INDEX('Inventaire M'!$A$2:$AD$9319,MATCH(R227,'Inventaire M'!$A:$A,0)-1,MATCH("Cours EUR",'Inventaire M'!#REF!,0))),"Sell",INDEX('Inventaire M'!$A$2:$AD$9319,MATCH(R227,'Inventaire M'!$A:$A,0)-1,MATCH("Cours EUR",'Inventaire M'!#REF!,0))))</f>
        <v>#REF!</v>
      </c>
      <c r="W227" s="175"/>
      <c r="X227" s="156" t="e">
        <f>IF(R227="-","",INDEX('Inventaire M-1'!$A$2:$AG$9334,MATCH(R227,'Inventaire M-1'!$A:$A,0)-1,MATCH("quantite",'Inventaire M-1'!#REF!,0)))</f>
        <v>#REF!</v>
      </c>
      <c r="Y227" s="156" t="e">
        <f>IF(S227="-","",IF(ISERROR(INDEX('Inventaire M'!$A$2:$AD$9319,MATCH(R227,'Inventaire M'!$A:$A,0)-1,MATCH("quantite",'Inventaire M'!#REF!,0))),"Sell",INDEX('Inventaire M'!$A$2:$AD$9319,MATCH(R227,'Inventaire M'!$A:$A,0)-1,MATCH("quantite",'Inventaire M'!#REF!,0))))</f>
        <v>#REF!</v>
      </c>
      <c r="Z227" s="175"/>
      <c r="AA227" s="155" t="e">
        <f>IF(R227="-","",INDEX('Inventaire M-1'!$A$2:$AG$9334,MATCH(R227,'Inventaire M-1'!$A:$A,0)-1,MATCH("poids",'Inventaire M-1'!#REF!,0)))</f>
        <v>#REF!</v>
      </c>
      <c r="AB227" s="155" t="e">
        <f>IF(R227="-","",IF(ISERROR(INDEX('Inventaire M'!$A$2:$AD$9319,MATCH(R227,'Inventaire M'!$A:$A,0)-1,MATCH("poids",'Inventaire M'!#REF!,0))),"Sell",INDEX('Inventaire M'!$A$2:$AD$9319,MATCH(R227,'Inventaire M'!$A:$A,0)-1,MATCH("poids",'Inventaire M'!#REF!,0))))</f>
        <v>#REF!</v>
      </c>
      <c r="AC227" s="175"/>
      <c r="AD227" s="157" t="str">
        <f t="shared" si="27"/>
        <v>0</v>
      </c>
      <c r="AE227" s="98" t="str">
        <f t="shared" si="28"/>
        <v/>
      </c>
      <c r="AF227" s="80" t="e">
        <f t="shared" si="29"/>
        <v>#REF!</v>
      </c>
    </row>
    <row r="228" spans="2:32" outlineLevel="1">
      <c r="B228" s="175" t="str">
        <f>IF(OR('Inventaire M'!D6="Dispo/Liquidité Investie",'Inventaire M'!D6="Option/Future",'Inventaire M'!D6="TCN",'Inventaire M'!D6=""),"-",'Inventaire M'!A6)</f>
        <v>BE6365823044</v>
      </c>
      <c r="C228" s="175" t="str">
        <f>IF(OR('Inventaire M'!D6="Dispo/Liquidité Investie",'Inventaire M'!D6="Option/Future",'Inventaire M'!D6="TCN",'Inventaire M'!D6=""),"-",'Inventaire M'!B6)</f>
        <v>MANUCHAR GROUP BV 07/07/2032</v>
      </c>
      <c r="D228" s="175"/>
      <c r="E228" s="175" t="e">
        <f>IF(B228="-","",INDEX('Inventaire M'!$A$2:$AW$9305,MATCH(B228,'Inventaire M'!$A:$A,0)-1,MATCH("Cours EUR",'Inventaire M'!#REF!,0)))</f>
        <v>#REF!</v>
      </c>
      <c r="F228" s="175" t="str">
        <f>IF(B228="-","",IF(ISERROR(INDEX('Inventaire M-1'!$A$2:$AZ$9320,MATCH(B228,'Inventaire M-1'!$A:$A,0)-1,MATCH("Cours EUR",'Inventaire M-1'!#REF!,0))),"Buy",INDEX('Inventaire M-1'!$A$2:$AZ$9320,MATCH(B228,'Inventaire M-1'!$A:$A,0)-1,MATCH("Cours EUR",'Inventaire M-1'!#REF!,0))))</f>
        <v>Buy</v>
      </c>
      <c r="G228" s="175"/>
      <c r="H228" s="156" t="e">
        <f>IF(B228="-","",INDEX('Inventaire M'!$A$2:$AW$9305,MATCH(B228,'Inventaire M'!$A:$A,0)-1,MATCH("quantite",'Inventaire M'!#REF!,0)))</f>
        <v>#REF!</v>
      </c>
      <c r="I228" s="156" t="str">
        <f>IF(C228="-","",IF(ISERROR(INDEX('Inventaire M-1'!$A$2:$AZ$9320,MATCH(B228,'Inventaire M-1'!$A:$A,0)-1,MATCH("quantite",'Inventaire M-1'!#REF!,0))),"Buy",INDEX('Inventaire M-1'!$A$2:$AZ$9320,MATCH(B228,'Inventaire M-1'!$A:$A,0)-1,MATCH("quantite",'Inventaire M-1'!#REF!,0))))</f>
        <v>Buy</v>
      </c>
      <c r="J228" s="175"/>
      <c r="K228" s="155" t="e">
        <f>IF(B228="-","",INDEX('Inventaire M'!$A$2:$AW$9305,MATCH(B228,'Inventaire M'!$A:$A,0)-1,MATCH("poids",'Inventaire M'!#REF!,0)))</f>
        <v>#REF!</v>
      </c>
      <c r="L228" s="155" t="str">
        <f>IF(B228="-","",IF(ISERROR(INDEX('Inventaire M-1'!$A$2:$AZ$9320,MATCH(B228,'Inventaire M-1'!$A:$A,0)-1,MATCH("poids",'Inventaire M-1'!#REF!,0))),"Buy",INDEX('Inventaire M-1'!$A$2:$AZ$9320,MATCH(B228,'Inventaire M-1'!$A:$A,0)-1,MATCH("poids",'Inventaire M-1'!#REF!,0))))</f>
        <v>Buy</v>
      </c>
      <c r="M228" s="175"/>
      <c r="N228" s="157" t="str">
        <f t="shared" si="24"/>
        <v>0</v>
      </c>
      <c r="O228" s="98" t="str">
        <f t="shared" si="25"/>
        <v/>
      </c>
      <c r="P228" s="80" t="str">
        <f t="shared" si="26"/>
        <v>MANUCHAR GROUP BV 07/07/2032</v>
      </c>
      <c r="Q228" s="75">
        <v>2.0400000000000001E-8</v>
      </c>
      <c r="R228" s="175" t="e">
        <f>IF(OR('Inventaire M-1'!#REF!="Dispo/Liquidité Investie",'Inventaire M-1'!#REF!="Option/Future",'Inventaire M-1'!#REF!="TCN",'Inventaire M-1'!#REF!=""),"-",'Inventaire M-1'!#REF!)</f>
        <v>#REF!</v>
      </c>
      <c r="S228" s="175" t="e">
        <f>IF(OR('Inventaire M-1'!#REF!="Dispo/Liquidité Investie",'Inventaire M-1'!#REF!="Option/Future",'Inventaire M-1'!#REF!="TCN",'Inventaire M-1'!#REF!=""),"-",'Inventaire M-1'!#REF!)</f>
        <v>#REF!</v>
      </c>
      <c r="T228" s="175"/>
      <c r="U228" s="175" t="e">
        <f>IF(R228="-","",INDEX('Inventaire M-1'!$A$2:$AG$9334,MATCH(R228,'Inventaire M-1'!$A:$A,0)-1,MATCH("Cours EUR",'Inventaire M-1'!#REF!,0)))</f>
        <v>#REF!</v>
      </c>
      <c r="V228" s="175" t="e">
        <f>IF(R228="-","",IF(ISERROR(INDEX('Inventaire M'!$A$2:$AD$9319,MATCH(R228,'Inventaire M'!$A:$A,0)-1,MATCH("Cours EUR",'Inventaire M'!#REF!,0))),"Sell",INDEX('Inventaire M'!$A$2:$AD$9319,MATCH(R228,'Inventaire M'!$A:$A,0)-1,MATCH("Cours EUR",'Inventaire M'!#REF!,0))))</f>
        <v>#REF!</v>
      </c>
      <c r="W228" s="175"/>
      <c r="X228" s="156" t="e">
        <f>IF(R228="-","",INDEX('Inventaire M-1'!$A$2:$AG$9334,MATCH(R228,'Inventaire M-1'!$A:$A,0)-1,MATCH("quantite",'Inventaire M-1'!#REF!,0)))</f>
        <v>#REF!</v>
      </c>
      <c r="Y228" s="156" t="e">
        <f>IF(S228="-","",IF(ISERROR(INDEX('Inventaire M'!$A$2:$AD$9319,MATCH(R228,'Inventaire M'!$A:$A,0)-1,MATCH("quantite",'Inventaire M'!#REF!,0))),"Sell",INDEX('Inventaire M'!$A$2:$AD$9319,MATCH(R228,'Inventaire M'!$A:$A,0)-1,MATCH("quantite",'Inventaire M'!#REF!,0))))</f>
        <v>#REF!</v>
      </c>
      <c r="Z228" s="175"/>
      <c r="AA228" s="155" t="e">
        <f>IF(R228="-","",INDEX('Inventaire M-1'!$A$2:$AG$9334,MATCH(R228,'Inventaire M-1'!$A:$A,0)-1,MATCH("poids",'Inventaire M-1'!#REF!,0)))</f>
        <v>#REF!</v>
      </c>
      <c r="AB228" s="155" t="e">
        <f>IF(R228="-","",IF(ISERROR(INDEX('Inventaire M'!$A$2:$AD$9319,MATCH(R228,'Inventaire M'!$A:$A,0)-1,MATCH("poids",'Inventaire M'!#REF!,0))),"Sell",INDEX('Inventaire M'!$A$2:$AD$9319,MATCH(R228,'Inventaire M'!$A:$A,0)-1,MATCH("poids",'Inventaire M'!#REF!,0))))</f>
        <v>#REF!</v>
      </c>
      <c r="AC228" s="175"/>
      <c r="AD228" s="157" t="str">
        <f t="shared" si="27"/>
        <v>0</v>
      </c>
      <c r="AE228" s="98" t="str">
        <f t="shared" si="28"/>
        <v/>
      </c>
      <c r="AF228" s="80" t="e">
        <f t="shared" si="29"/>
        <v>#REF!</v>
      </c>
    </row>
    <row r="229" spans="2:32" outlineLevel="1">
      <c r="B229" s="175" t="str">
        <f>IF(OR('Inventaire M'!D7="Dispo/Liquidité Investie",'Inventaire M'!D7="Option/Future",'Inventaire M'!D7="TCN",'Inventaire M'!D7=""),"-",'Inventaire M'!A7)</f>
        <v>DE000A3E5WW4</v>
      </c>
      <c r="C229" s="175" t="str">
        <f>IF(OR('Inventaire M'!D7="Dispo/Liquidité Investie",'Inventaire M'!D7="Option/Future",'Inventaire M'!D7="TCN",'Inventaire M'!D7=""),"-",'Inventaire M'!B7)</f>
        <v>EVONIK INDUSTRIES AG 02/09/2081</v>
      </c>
      <c r="D229" s="175"/>
      <c r="E229" s="175" t="e">
        <f>IF(B229="-","",INDEX('Inventaire M'!$A$2:$AW$9305,MATCH(B229,'Inventaire M'!$A:$A,0)-1,MATCH("Cours EUR",'Inventaire M'!#REF!,0)))</f>
        <v>#REF!</v>
      </c>
      <c r="F229" s="175" t="str">
        <f>IF(B229="-","",IF(ISERROR(INDEX('Inventaire M-1'!$A$2:$AZ$9320,MATCH(B229,'Inventaire M-1'!$A:$A,0)-1,MATCH("Cours EUR",'Inventaire M-1'!#REF!,0))),"Buy",INDEX('Inventaire M-1'!$A$2:$AZ$9320,MATCH(B229,'Inventaire M-1'!$A:$A,0)-1,MATCH("Cours EUR",'Inventaire M-1'!#REF!,0))))</f>
        <v>Buy</v>
      </c>
      <c r="G229" s="175"/>
      <c r="H229" s="156" t="e">
        <f>IF(B229="-","",INDEX('Inventaire M'!$A$2:$AW$9305,MATCH(B229,'Inventaire M'!$A:$A,0)-1,MATCH("quantite",'Inventaire M'!#REF!,0)))</f>
        <v>#REF!</v>
      </c>
      <c r="I229" s="156" t="str">
        <f>IF(C229="-","",IF(ISERROR(INDEX('Inventaire M-1'!$A$2:$AZ$9320,MATCH(B229,'Inventaire M-1'!$A:$A,0)-1,MATCH("quantite",'Inventaire M-1'!#REF!,0))),"Buy",INDEX('Inventaire M-1'!$A$2:$AZ$9320,MATCH(B229,'Inventaire M-1'!$A:$A,0)-1,MATCH("quantite",'Inventaire M-1'!#REF!,0))))</f>
        <v>Buy</v>
      </c>
      <c r="J229" s="175"/>
      <c r="K229" s="155" t="e">
        <f>IF(B229="-","",INDEX('Inventaire M'!$A$2:$AW$9305,MATCH(B229,'Inventaire M'!$A:$A,0)-1,MATCH("poids",'Inventaire M'!#REF!,0)))</f>
        <v>#REF!</v>
      </c>
      <c r="L229" s="155" t="str">
        <f>IF(B229="-","",IF(ISERROR(INDEX('Inventaire M-1'!$A$2:$AZ$9320,MATCH(B229,'Inventaire M-1'!$A:$A,0)-1,MATCH("poids",'Inventaire M-1'!#REF!,0))),"Buy",INDEX('Inventaire M-1'!$A$2:$AZ$9320,MATCH(B229,'Inventaire M-1'!$A:$A,0)-1,MATCH("poids",'Inventaire M-1'!#REF!,0))))</f>
        <v>Buy</v>
      </c>
      <c r="M229" s="175"/>
      <c r="N229" s="157" t="str">
        <f t="shared" si="24"/>
        <v>0</v>
      </c>
      <c r="O229" s="98" t="str">
        <f t="shared" si="25"/>
        <v/>
      </c>
      <c r="P229" s="80" t="str">
        <f t="shared" si="26"/>
        <v>EVONIK INDUSTRIES AG 02/09/2081</v>
      </c>
      <c r="Q229" s="75">
        <v>2.0500000000000002E-8</v>
      </c>
      <c r="R229" s="175" t="e">
        <f>IF(OR('Inventaire M-1'!#REF!="Dispo/Liquidité Investie",'Inventaire M-1'!#REF!="Option/Future",'Inventaire M-1'!#REF!="TCN",'Inventaire M-1'!#REF!=""),"-",'Inventaire M-1'!#REF!)</f>
        <v>#REF!</v>
      </c>
      <c r="S229" s="175" t="e">
        <f>IF(OR('Inventaire M-1'!#REF!="Dispo/Liquidité Investie",'Inventaire M-1'!#REF!="Option/Future",'Inventaire M-1'!#REF!="TCN",'Inventaire M-1'!#REF!=""),"-",'Inventaire M-1'!#REF!)</f>
        <v>#REF!</v>
      </c>
      <c r="T229" s="175"/>
      <c r="U229" s="175" t="e">
        <f>IF(R229="-","",INDEX('Inventaire M-1'!$A$2:$AG$9334,MATCH(R229,'Inventaire M-1'!$A:$A,0)-1,MATCH("Cours EUR",'Inventaire M-1'!#REF!,0)))</f>
        <v>#REF!</v>
      </c>
      <c r="V229" s="175" t="e">
        <f>IF(R229="-","",IF(ISERROR(INDEX('Inventaire M'!$A$2:$AD$9319,MATCH(R229,'Inventaire M'!$A:$A,0)-1,MATCH("Cours EUR",'Inventaire M'!#REF!,0))),"Sell",INDEX('Inventaire M'!$A$2:$AD$9319,MATCH(R229,'Inventaire M'!$A:$A,0)-1,MATCH("Cours EUR",'Inventaire M'!#REF!,0))))</f>
        <v>#REF!</v>
      </c>
      <c r="W229" s="175"/>
      <c r="X229" s="156" t="e">
        <f>IF(R229="-","",INDEX('Inventaire M-1'!$A$2:$AG$9334,MATCH(R229,'Inventaire M-1'!$A:$A,0)-1,MATCH("quantite",'Inventaire M-1'!#REF!,0)))</f>
        <v>#REF!</v>
      </c>
      <c r="Y229" s="156" t="e">
        <f>IF(S229="-","",IF(ISERROR(INDEX('Inventaire M'!$A$2:$AD$9319,MATCH(R229,'Inventaire M'!$A:$A,0)-1,MATCH("quantite",'Inventaire M'!#REF!,0))),"Sell",INDEX('Inventaire M'!$A$2:$AD$9319,MATCH(R229,'Inventaire M'!$A:$A,0)-1,MATCH("quantite",'Inventaire M'!#REF!,0))))</f>
        <v>#REF!</v>
      </c>
      <c r="Z229" s="175"/>
      <c r="AA229" s="155" t="e">
        <f>IF(R229="-","",INDEX('Inventaire M-1'!$A$2:$AG$9334,MATCH(R229,'Inventaire M-1'!$A:$A,0)-1,MATCH("poids",'Inventaire M-1'!#REF!,0)))</f>
        <v>#REF!</v>
      </c>
      <c r="AB229" s="155" t="e">
        <f>IF(R229="-","",IF(ISERROR(INDEX('Inventaire M'!$A$2:$AD$9319,MATCH(R229,'Inventaire M'!$A:$A,0)-1,MATCH("poids",'Inventaire M'!#REF!,0))),"Sell",INDEX('Inventaire M'!$A$2:$AD$9319,MATCH(R229,'Inventaire M'!$A:$A,0)-1,MATCH("poids",'Inventaire M'!#REF!,0))))</f>
        <v>#REF!</v>
      </c>
      <c r="AC229" s="175"/>
      <c r="AD229" s="157" t="str">
        <f t="shared" si="27"/>
        <v>0</v>
      </c>
      <c r="AE229" s="98" t="str">
        <f t="shared" si="28"/>
        <v/>
      </c>
      <c r="AF229" s="80" t="e">
        <f t="shared" si="29"/>
        <v>#REF!</v>
      </c>
    </row>
    <row r="230" spans="2:32" outlineLevel="1">
      <c r="B230" s="175" t="str">
        <f>IF(OR('Inventaire M'!D8="Dispo/Liquidité Investie",'Inventaire M'!D8="Option/Future",'Inventaire M'!D8="TCN",'Inventaire M'!D8=""),"-",'Inventaire M'!A8)</f>
        <v>DE000A4DFLQ6</v>
      </c>
      <c r="C230" s="175" t="str">
        <f>IF(OR('Inventaire M'!D8="Dispo/Liquidité Investie",'Inventaire M'!D8="Option/Future",'Inventaire M'!D8="TCN",'Inventaire M'!D8=""),"-",'Inventaire M'!B8)</f>
        <v>SCHAEFFLER AG 5.375 01/04/2031</v>
      </c>
      <c r="D230" s="175"/>
      <c r="E230" s="175" t="e">
        <f>IF(B230="-","",INDEX('Inventaire M'!$A$2:$AW$9305,MATCH(B230,'Inventaire M'!$A:$A,0)-1,MATCH("Cours EUR",'Inventaire M'!#REF!,0)))</f>
        <v>#REF!</v>
      </c>
      <c r="F230" s="175" t="str">
        <f>IF(B230="-","",IF(ISERROR(INDEX('Inventaire M-1'!$A$2:$AZ$9320,MATCH(B230,'Inventaire M-1'!$A:$A,0)-1,MATCH("Cours EUR",'Inventaire M-1'!#REF!,0))),"Buy",INDEX('Inventaire M-1'!$A$2:$AZ$9320,MATCH(B230,'Inventaire M-1'!$A:$A,0)-1,MATCH("Cours EUR",'Inventaire M-1'!#REF!,0))))</f>
        <v>Buy</v>
      </c>
      <c r="G230" s="175"/>
      <c r="H230" s="156" t="e">
        <f>IF(B230="-","",INDEX('Inventaire M'!$A$2:$AW$9305,MATCH(B230,'Inventaire M'!$A:$A,0)-1,MATCH("quantite",'Inventaire M'!#REF!,0)))</f>
        <v>#REF!</v>
      </c>
      <c r="I230" s="156" t="str">
        <f>IF(C230="-","",IF(ISERROR(INDEX('Inventaire M-1'!$A$2:$AZ$9320,MATCH(B230,'Inventaire M-1'!$A:$A,0)-1,MATCH("quantite",'Inventaire M-1'!#REF!,0))),"Buy",INDEX('Inventaire M-1'!$A$2:$AZ$9320,MATCH(B230,'Inventaire M-1'!$A:$A,0)-1,MATCH("quantite",'Inventaire M-1'!#REF!,0))))</f>
        <v>Buy</v>
      </c>
      <c r="J230" s="175"/>
      <c r="K230" s="155" t="e">
        <f>IF(B230="-","",INDEX('Inventaire M'!$A$2:$AW$9305,MATCH(B230,'Inventaire M'!$A:$A,0)-1,MATCH("poids",'Inventaire M'!#REF!,0)))</f>
        <v>#REF!</v>
      </c>
      <c r="L230" s="155" t="str">
        <f>IF(B230="-","",IF(ISERROR(INDEX('Inventaire M-1'!$A$2:$AZ$9320,MATCH(B230,'Inventaire M-1'!$A:$A,0)-1,MATCH("poids",'Inventaire M-1'!#REF!,0))),"Buy",INDEX('Inventaire M-1'!$A$2:$AZ$9320,MATCH(B230,'Inventaire M-1'!$A:$A,0)-1,MATCH("poids",'Inventaire M-1'!#REF!,0))))</f>
        <v>Buy</v>
      </c>
      <c r="M230" s="175"/>
      <c r="N230" s="157" t="str">
        <f t="shared" si="24"/>
        <v>0</v>
      </c>
      <c r="O230" s="98" t="str">
        <f t="shared" si="25"/>
        <v/>
      </c>
      <c r="P230" s="80" t="str">
        <f t="shared" si="26"/>
        <v>SCHAEFFLER AG 5.375 01/04/2031</v>
      </c>
      <c r="Q230" s="75">
        <v>2.0599999999999999E-8</v>
      </c>
      <c r="R230" s="175" t="e">
        <f>IF(OR('Inventaire M-1'!#REF!="Dispo/Liquidité Investie",'Inventaire M-1'!#REF!="Option/Future",'Inventaire M-1'!#REF!="TCN",'Inventaire M-1'!#REF!=""),"-",'Inventaire M-1'!#REF!)</f>
        <v>#REF!</v>
      </c>
      <c r="S230" s="175" t="e">
        <f>IF(OR('Inventaire M-1'!#REF!="Dispo/Liquidité Investie",'Inventaire M-1'!#REF!="Option/Future",'Inventaire M-1'!#REF!="TCN",'Inventaire M-1'!#REF!=""),"-",'Inventaire M-1'!#REF!)</f>
        <v>#REF!</v>
      </c>
      <c r="T230" s="175"/>
      <c r="U230" s="175" t="e">
        <f>IF(R230="-","",INDEX('Inventaire M-1'!$A$2:$AG$9334,MATCH(R230,'Inventaire M-1'!$A:$A,0)-1,MATCH("Cours EUR",'Inventaire M-1'!#REF!,0)))</f>
        <v>#REF!</v>
      </c>
      <c r="V230" s="175" t="e">
        <f>IF(R230="-","",IF(ISERROR(INDEX('Inventaire M'!$A$2:$AD$9319,MATCH(R230,'Inventaire M'!$A:$A,0)-1,MATCH("Cours EUR",'Inventaire M'!#REF!,0))),"Sell",INDEX('Inventaire M'!$A$2:$AD$9319,MATCH(R230,'Inventaire M'!$A:$A,0)-1,MATCH("Cours EUR",'Inventaire M'!#REF!,0))))</f>
        <v>#REF!</v>
      </c>
      <c r="W230" s="175"/>
      <c r="X230" s="156" t="e">
        <f>IF(R230="-","",INDEX('Inventaire M-1'!$A$2:$AG$9334,MATCH(R230,'Inventaire M-1'!$A:$A,0)-1,MATCH("quantite",'Inventaire M-1'!#REF!,0)))</f>
        <v>#REF!</v>
      </c>
      <c r="Y230" s="156" t="e">
        <f>IF(S230="-","",IF(ISERROR(INDEX('Inventaire M'!$A$2:$AD$9319,MATCH(R230,'Inventaire M'!$A:$A,0)-1,MATCH("quantite",'Inventaire M'!#REF!,0))),"Sell",INDEX('Inventaire M'!$A$2:$AD$9319,MATCH(R230,'Inventaire M'!$A:$A,0)-1,MATCH("quantite",'Inventaire M'!#REF!,0))))</f>
        <v>#REF!</v>
      </c>
      <c r="Z230" s="175"/>
      <c r="AA230" s="155" t="e">
        <f>IF(R230="-","",INDEX('Inventaire M-1'!$A$2:$AG$9334,MATCH(R230,'Inventaire M-1'!$A:$A,0)-1,MATCH("poids",'Inventaire M-1'!#REF!,0)))</f>
        <v>#REF!</v>
      </c>
      <c r="AB230" s="155" t="e">
        <f>IF(R230="-","",IF(ISERROR(INDEX('Inventaire M'!$A$2:$AD$9319,MATCH(R230,'Inventaire M'!$A:$A,0)-1,MATCH("poids",'Inventaire M'!#REF!,0))),"Sell",INDEX('Inventaire M'!$A$2:$AD$9319,MATCH(R230,'Inventaire M'!$A:$A,0)-1,MATCH("poids",'Inventaire M'!#REF!,0))))</f>
        <v>#REF!</v>
      </c>
      <c r="AC230" s="175"/>
      <c r="AD230" s="157" t="str">
        <f t="shared" si="27"/>
        <v>0</v>
      </c>
      <c r="AE230" s="98" t="str">
        <f t="shared" si="28"/>
        <v/>
      </c>
      <c r="AF230" s="80" t="e">
        <f t="shared" si="29"/>
        <v>#REF!</v>
      </c>
    </row>
    <row r="231" spans="2:32" outlineLevel="1">
      <c r="B231" s="175" t="str">
        <f>IF(OR('Inventaire M'!D9="Dispo/Liquidité Investie",'Inventaire M'!D9="Option/Future",'Inventaire M'!D9="TCN",'Inventaire M'!D9=""),"-",'Inventaire M'!A9)</f>
        <v>FR0000008997</v>
      </c>
      <c r="C231" s="175" t="str">
        <f>IF(OR('Inventaire M'!D9="Dispo/Liquidité Investie",'Inventaire M'!D9="Option/Future",'Inventaire M'!D9="TCN",'Inventaire M'!D9=""),"-",'Inventaire M'!B9)</f>
        <v>Ofi Invest ESG Liquidités PART C/D</v>
      </c>
      <c r="D231" s="175"/>
      <c r="E231" s="175" t="e">
        <f>IF(B231="-","",INDEX('Inventaire M'!$A$2:$AW$9305,MATCH(B231,'Inventaire M'!$A:$A,0)-1,MATCH("Cours EUR",'Inventaire M'!#REF!,0)))</f>
        <v>#REF!</v>
      </c>
      <c r="F231" s="175" t="str">
        <f>IF(B231="-","",IF(ISERROR(INDEX('Inventaire M-1'!$A$2:$AZ$9320,MATCH(B231,'Inventaire M-1'!$A:$A,0)-1,MATCH("Cours EUR",'Inventaire M-1'!#REF!,0))),"Buy",INDEX('Inventaire M-1'!$A$2:$AZ$9320,MATCH(B231,'Inventaire M-1'!$A:$A,0)-1,MATCH("Cours EUR",'Inventaire M-1'!#REF!,0))))</f>
        <v>Buy</v>
      </c>
      <c r="G231" s="175"/>
      <c r="H231" s="156" t="e">
        <f>IF(B231="-","",INDEX('Inventaire M'!$A$2:$AW$9305,MATCH(B231,'Inventaire M'!$A:$A,0)-1,MATCH("quantite",'Inventaire M'!#REF!,0)))</f>
        <v>#REF!</v>
      </c>
      <c r="I231" s="156" t="str">
        <f>IF(C231="-","",IF(ISERROR(INDEX('Inventaire M-1'!$A$2:$AZ$9320,MATCH(B231,'Inventaire M-1'!$A:$A,0)-1,MATCH("quantite",'Inventaire M-1'!#REF!,0))),"Buy",INDEX('Inventaire M-1'!$A$2:$AZ$9320,MATCH(B231,'Inventaire M-1'!$A:$A,0)-1,MATCH("quantite",'Inventaire M-1'!#REF!,0))))</f>
        <v>Buy</v>
      </c>
      <c r="J231" s="175"/>
      <c r="K231" s="155" t="e">
        <f>IF(B231="-","",INDEX('Inventaire M'!$A$2:$AW$9305,MATCH(B231,'Inventaire M'!$A:$A,0)-1,MATCH("poids",'Inventaire M'!#REF!,0)))</f>
        <v>#REF!</v>
      </c>
      <c r="L231" s="155" t="str">
        <f>IF(B231="-","",IF(ISERROR(INDEX('Inventaire M-1'!$A$2:$AZ$9320,MATCH(B231,'Inventaire M-1'!$A:$A,0)-1,MATCH("poids",'Inventaire M-1'!#REF!,0))),"Buy",INDEX('Inventaire M-1'!$A$2:$AZ$9320,MATCH(B231,'Inventaire M-1'!$A:$A,0)-1,MATCH("poids",'Inventaire M-1'!#REF!,0))))</f>
        <v>Buy</v>
      </c>
      <c r="M231" s="175"/>
      <c r="N231" s="157" t="str">
        <f t="shared" si="24"/>
        <v>0</v>
      </c>
      <c r="O231" s="98" t="str">
        <f t="shared" si="25"/>
        <v/>
      </c>
      <c r="P231" s="80" t="str">
        <f t="shared" si="26"/>
        <v>Ofi Invest ESG Liquidités PART C/D</v>
      </c>
      <c r="Q231" s="75">
        <v>2.07E-8</v>
      </c>
      <c r="R231" s="175" t="e">
        <f>IF(OR('Inventaire M-1'!#REF!="Dispo/Liquidité Investie",'Inventaire M-1'!#REF!="Option/Future",'Inventaire M-1'!#REF!="TCN",'Inventaire M-1'!#REF!=""),"-",'Inventaire M-1'!#REF!)</f>
        <v>#REF!</v>
      </c>
      <c r="S231" s="175" t="e">
        <f>IF(OR('Inventaire M-1'!#REF!="Dispo/Liquidité Investie",'Inventaire M-1'!#REF!="Option/Future",'Inventaire M-1'!#REF!="TCN",'Inventaire M-1'!#REF!=""),"-",'Inventaire M-1'!#REF!)</f>
        <v>#REF!</v>
      </c>
      <c r="T231" s="175"/>
      <c r="U231" s="175" t="e">
        <f>IF(R231="-","",INDEX('Inventaire M-1'!$A$2:$AG$9334,MATCH(R231,'Inventaire M-1'!$A:$A,0)-1,MATCH("Cours EUR",'Inventaire M-1'!#REF!,0)))</f>
        <v>#REF!</v>
      </c>
      <c r="V231" s="175" t="e">
        <f>IF(R231="-","",IF(ISERROR(INDEX('Inventaire M'!$A$2:$AD$9319,MATCH(R231,'Inventaire M'!$A:$A,0)-1,MATCH("Cours EUR",'Inventaire M'!#REF!,0))),"Sell",INDEX('Inventaire M'!$A$2:$AD$9319,MATCH(R231,'Inventaire M'!$A:$A,0)-1,MATCH("Cours EUR",'Inventaire M'!#REF!,0))))</f>
        <v>#REF!</v>
      </c>
      <c r="W231" s="175"/>
      <c r="X231" s="156" t="e">
        <f>IF(R231="-","",INDEX('Inventaire M-1'!$A$2:$AG$9334,MATCH(R231,'Inventaire M-1'!$A:$A,0)-1,MATCH("quantite",'Inventaire M-1'!#REF!,0)))</f>
        <v>#REF!</v>
      </c>
      <c r="Y231" s="156" t="e">
        <f>IF(S231="-","",IF(ISERROR(INDEX('Inventaire M'!$A$2:$AD$9319,MATCH(R231,'Inventaire M'!$A:$A,0)-1,MATCH("quantite",'Inventaire M'!#REF!,0))),"Sell",INDEX('Inventaire M'!$A$2:$AD$9319,MATCH(R231,'Inventaire M'!$A:$A,0)-1,MATCH("quantite",'Inventaire M'!#REF!,0))))</f>
        <v>#REF!</v>
      </c>
      <c r="Z231" s="175"/>
      <c r="AA231" s="155" t="e">
        <f>IF(R231="-","",INDEX('Inventaire M-1'!$A$2:$AG$9334,MATCH(R231,'Inventaire M-1'!$A:$A,0)-1,MATCH("poids",'Inventaire M-1'!#REF!,0)))</f>
        <v>#REF!</v>
      </c>
      <c r="AB231" s="155" t="e">
        <f>IF(R231="-","",IF(ISERROR(INDEX('Inventaire M'!$A$2:$AD$9319,MATCH(R231,'Inventaire M'!$A:$A,0)-1,MATCH("poids",'Inventaire M'!#REF!,0))),"Sell",INDEX('Inventaire M'!$A$2:$AD$9319,MATCH(R231,'Inventaire M'!$A:$A,0)-1,MATCH("poids",'Inventaire M'!#REF!,0))))</f>
        <v>#REF!</v>
      </c>
      <c r="AC231" s="175"/>
      <c r="AD231" s="157" t="str">
        <f t="shared" si="27"/>
        <v>0</v>
      </c>
      <c r="AE231" s="98" t="str">
        <f t="shared" si="28"/>
        <v/>
      </c>
      <c r="AF231" s="80" t="e">
        <f t="shared" si="29"/>
        <v>#REF!</v>
      </c>
    </row>
    <row r="232" spans="2:32" outlineLevel="1">
      <c r="B232" s="175" t="str">
        <f>IF(OR('Inventaire M'!D10="Dispo/Liquidité Investie",'Inventaire M'!D10="Option/Future",'Inventaire M'!D10="TCN",'Inventaire M'!D10=""),"-",'Inventaire M'!A10)</f>
        <v>FR0013330537</v>
      </c>
      <c r="C232" s="175" t="str">
        <f>IF(OR('Inventaire M'!D10="Dispo/Liquidité Investie",'Inventaire M'!D10="Option/Future",'Inventaire M'!D10="TCN",'Inventaire M'!D10=""),"-",'Inventaire M'!B10)</f>
        <v>UNIBAIL-RODAMCO-WESTFIELD SE PERP</v>
      </c>
      <c r="D232" s="175"/>
      <c r="E232" s="175" t="e">
        <f>IF(B232="-","",INDEX('Inventaire M'!$A$2:$AW$9305,MATCH(B232,'Inventaire M'!$A:$A,0)-1,MATCH("Cours EUR",'Inventaire M'!#REF!,0)))</f>
        <v>#REF!</v>
      </c>
      <c r="F232" s="175" t="str">
        <f>IF(B232="-","",IF(ISERROR(INDEX('Inventaire M-1'!$A$2:$AZ$9320,MATCH(B232,'Inventaire M-1'!$A:$A,0)-1,MATCH("Cours EUR",'Inventaire M-1'!#REF!,0))),"Buy",INDEX('Inventaire M-1'!$A$2:$AZ$9320,MATCH(B232,'Inventaire M-1'!$A:$A,0)-1,MATCH("Cours EUR",'Inventaire M-1'!#REF!,0))))</f>
        <v>Buy</v>
      </c>
      <c r="G232" s="175"/>
      <c r="H232" s="156" t="e">
        <f>IF(B232="-","",INDEX('Inventaire M'!$A$2:$AW$9305,MATCH(B232,'Inventaire M'!$A:$A,0)-1,MATCH("quantite",'Inventaire M'!#REF!,0)))</f>
        <v>#REF!</v>
      </c>
      <c r="I232" s="156" t="str">
        <f>IF(C232="-","",IF(ISERROR(INDEX('Inventaire M-1'!$A$2:$AZ$9320,MATCH(B232,'Inventaire M-1'!$A:$A,0)-1,MATCH("quantite",'Inventaire M-1'!#REF!,0))),"Buy",INDEX('Inventaire M-1'!$A$2:$AZ$9320,MATCH(B232,'Inventaire M-1'!$A:$A,0)-1,MATCH("quantite",'Inventaire M-1'!#REF!,0))))</f>
        <v>Buy</v>
      </c>
      <c r="J232" s="175"/>
      <c r="K232" s="155" t="e">
        <f>IF(B232="-","",INDEX('Inventaire M'!$A$2:$AW$9305,MATCH(B232,'Inventaire M'!$A:$A,0)-1,MATCH("poids",'Inventaire M'!#REF!,0)))</f>
        <v>#REF!</v>
      </c>
      <c r="L232" s="155" t="str">
        <f>IF(B232="-","",IF(ISERROR(INDEX('Inventaire M-1'!$A$2:$AZ$9320,MATCH(B232,'Inventaire M-1'!$A:$A,0)-1,MATCH("poids",'Inventaire M-1'!#REF!,0))),"Buy",INDEX('Inventaire M-1'!$A$2:$AZ$9320,MATCH(B232,'Inventaire M-1'!$A:$A,0)-1,MATCH("poids",'Inventaire M-1'!#REF!,0))))</f>
        <v>Buy</v>
      </c>
      <c r="M232" s="175"/>
      <c r="N232" s="157" t="str">
        <f t="shared" si="24"/>
        <v>0</v>
      </c>
      <c r="O232" s="98" t="str">
        <f t="shared" si="25"/>
        <v/>
      </c>
      <c r="P232" s="80" t="str">
        <f t="shared" si="26"/>
        <v>UNIBAIL-RODAMCO-WESTFIELD SE PERP</v>
      </c>
      <c r="Q232" s="75">
        <v>2.0800000000000001E-8</v>
      </c>
      <c r="R232" s="175" t="e">
        <f>IF(OR('Inventaire M-1'!#REF!="Dispo/Liquidité Investie",'Inventaire M-1'!#REF!="Option/Future",'Inventaire M-1'!#REF!="TCN",'Inventaire M-1'!#REF!=""),"-",'Inventaire M-1'!#REF!)</f>
        <v>#REF!</v>
      </c>
      <c r="S232" s="175" t="e">
        <f>IF(OR('Inventaire M-1'!#REF!="Dispo/Liquidité Investie",'Inventaire M-1'!#REF!="Option/Future",'Inventaire M-1'!#REF!="TCN",'Inventaire M-1'!#REF!=""),"-",'Inventaire M-1'!#REF!)</f>
        <v>#REF!</v>
      </c>
      <c r="T232" s="175"/>
      <c r="U232" s="175" t="e">
        <f>IF(R232="-","",INDEX('Inventaire M-1'!$A$2:$AG$9334,MATCH(R232,'Inventaire M-1'!$A:$A,0)-1,MATCH("Cours EUR",'Inventaire M-1'!#REF!,0)))</f>
        <v>#REF!</v>
      </c>
      <c r="V232" s="175" t="e">
        <f>IF(R232="-","",IF(ISERROR(INDEX('Inventaire M'!$A$2:$AD$9319,MATCH(R232,'Inventaire M'!$A:$A,0)-1,MATCH("Cours EUR",'Inventaire M'!#REF!,0))),"Sell",INDEX('Inventaire M'!$A$2:$AD$9319,MATCH(R232,'Inventaire M'!$A:$A,0)-1,MATCH("Cours EUR",'Inventaire M'!#REF!,0))))</f>
        <v>#REF!</v>
      </c>
      <c r="W232" s="175"/>
      <c r="X232" s="156" t="e">
        <f>IF(R232="-","",INDEX('Inventaire M-1'!$A$2:$AG$9334,MATCH(R232,'Inventaire M-1'!$A:$A,0)-1,MATCH("quantite",'Inventaire M-1'!#REF!,0)))</f>
        <v>#REF!</v>
      </c>
      <c r="Y232" s="156" t="e">
        <f>IF(S232="-","",IF(ISERROR(INDEX('Inventaire M'!$A$2:$AD$9319,MATCH(R232,'Inventaire M'!$A:$A,0)-1,MATCH("quantite",'Inventaire M'!#REF!,0))),"Sell",INDEX('Inventaire M'!$A$2:$AD$9319,MATCH(R232,'Inventaire M'!$A:$A,0)-1,MATCH("quantite",'Inventaire M'!#REF!,0))))</f>
        <v>#REF!</v>
      </c>
      <c r="Z232" s="175"/>
      <c r="AA232" s="155" t="e">
        <f>IF(R232="-","",INDEX('Inventaire M-1'!$A$2:$AG$9334,MATCH(R232,'Inventaire M-1'!$A:$A,0)-1,MATCH("poids",'Inventaire M-1'!#REF!,0)))</f>
        <v>#REF!</v>
      </c>
      <c r="AB232" s="155" t="e">
        <f>IF(R232="-","",IF(ISERROR(INDEX('Inventaire M'!$A$2:$AD$9319,MATCH(R232,'Inventaire M'!$A:$A,0)-1,MATCH("poids",'Inventaire M'!#REF!,0))),"Sell",INDEX('Inventaire M'!$A$2:$AD$9319,MATCH(R232,'Inventaire M'!$A:$A,0)-1,MATCH("poids",'Inventaire M'!#REF!,0))))</f>
        <v>#REF!</v>
      </c>
      <c r="AC232" s="175"/>
      <c r="AD232" s="157" t="str">
        <f t="shared" si="27"/>
        <v>0</v>
      </c>
      <c r="AE232" s="98" t="str">
        <f t="shared" si="28"/>
        <v/>
      </c>
      <c r="AF232" s="80" t="e">
        <f t="shared" si="29"/>
        <v>#REF!</v>
      </c>
    </row>
    <row r="233" spans="2:32" outlineLevel="1">
      <c r="B233" s="175" t="str">
        <f>IF(OR('Inventaire M'!D11="Dispo/Liquidité Investie",'Inventaire M'!D11="Option/Future",'Inventaire M'!D11="TCN",'Inventaire M'!D11=""),"-",'Inventaire M'!A11)</f>
        <v>FR0013478252</v>
      </c>
      <c r="C233" s="175" t="str">
        <f>IF(OR('Inventaire M'!D11="Dispo/Liquidité Investie",'Inventaire M'!D11="Option/Future",'Inventaire M'!D11="TCN",'Inventaire M'!D11=""),"-",'Inventaire M'!B11)</f>
        <v>ARKEMA SA PERP</v>
      </c>
      <c r="D233" s="175"/>
      <c r="E233" s="175" t="e">
        <f>IF(B233="-","",INDEX('Inventaire M'!$A$2:$AW$9305,MATCH(B233,'Inventaire M'!$A:$A,0)-1,MATCH("Cours EUR",'Inventaire M'!#REF!,0)))</f>
        <v>#REF!</v>
      </c>
      <c r="F233" s="175" t="str">
        <f>IF(B233="-","",IF(ISERROR(INDEX('Inventaire M-1'!$A$2:$AZ$9320,MATCH(B233,'Inventaire M-1'!$A:$A,0)-1,MATCH("Cours EUR",'Inventaire M-1'!#REF!,0))),"Buy",INDEX('Inventaire M-1'!$A$2:$AZ$9320,MATCH(B233,'Inventaire M-1'!$A:$A,0)-1,MATCH("Cours EUR",'Inventaire M-1'!#REF!,0))))</f>
        <v>Buy</v>
      </c>
      <c r="G233" s="175"/>
      <c r="H233" s="156" t="e">
        <f>IF(B233="-","",INDEX('Inventaire M'!$A$2:$AW$9305,MATCH(B233,'Inventaire M'!$A:$A,0)-1,MATCH("quantite",'Inventaire M'!#REF!,0)))</f>
        <v>#REF!</v>
      </c>
      <c r="I233" s="156" t="str">
        <f>IF(C233="-","",IF(ISERROR(INDEX('Inventaire M-1'!$A$2:$AZ$9320,MATCH(B233,'Inventaire M-1'!$A:$A,0)-1,MATCH("quantite",'Inventaire M-1'!#REF!,0))),"Buy",INDEX('Inventaire M-1'!$A$2:$AZ$9320,MATCH(B233,'Inventaire M-1'!$A:$A,0)-1,MATCH("quantite",'Inventaire M-1'!#REF!,0))))</f>
        <v>Buy</v>
      </c>
      <c r="J233" s="175"/>
      <c r="K233" s="155" t="e">
        <f>IF(B233="-","",INDEX('Inventaire M'!$A$2:$AW$9305,MATCH(B233,'Inventaire M'!$A:$A,0)-1,MATCH("poids",'Inventaire M'!#REF!,0)))</f>
        <v>#REF!</v>
      </c>
      <c r="L233" s="155" t="str">
        <f>IF(B233="-","",IF(ISERROR(INDEX('Inventaire M-1'!$A$2:$AZ$9320,MATCH(B233,'Inventaire M-1'!$A:$A,0)-1,MATCH("poids",'Inventaire M-1'!#REF!,0))),"Buy",INDEX('Inventaire M-1'!$A$2:$AZ$9320,MATCH(B233,'Inventaire M-1'!$A:$A,0)-1,MATCH("poids",'Inventaire M-1'!#REF!,0))))</f>
        <v>Buy</v>
      </c>
      <c r="M233" s="175"/>
      <c r="N233" s="157" t="str">
        <f t="shared" si="24"/>
        <v>0</v>
      </c>
      <c r="O233" s="98" t="str">
        <f t="shared" si="25"/>
        <v/>
      </c>
      <c r="P233" s="80" t="str">
        <f t="shared" si="26"/>
        <v>ARKEMA SA PERP</v>
      </c>
      <c r="Q233" s="75">
        <v>2.0899999999999999E-8</v>
      </c>
      <c r="R233" s="175" t="e">
        <f>IF(OR('Inventaire M-1'!#REF!="Dispo/Liquidité Investie",'Inventaire M-1'!#REF!="Option/Future",'Inventaire M-1'!#REF!="TCN",'Inventaire M-1'!#REF!=""),"-",'Inventaire M-1'!#REF!)</f>
        <v>#REF!</v>
      </c>
      <c r="S233" s="175" t="e">
        <f>IF(OR('Inventaire M-1'!#REF!="Dispo/Liquidité Investie",'Inventaire M-1'!#REF!="Option/Future",'Inventaire M-1'!#REF!="TCN",'Inventaire M-1'!#REF!=""),"-",'Inventaire M-1'!#REF!)</f>
        <v>#REF!</v>
      </c>
      <c r="T233" s="175"/>
      <c r="U233" s="175" t="e">
        <f>IF(R233="-","",INDEX('Inventaire M-1'!$A$2:$AG$9334,MATCH(R233,'Inventaire M-1'!$A:$A,0)-1,MATCH("Cours EUR",'Inventaire M-1'!#REF!,0)))</f>
        <v>#REF!</v>
      </c>
      <c r="V233" s="175" t="e">
        <f>IF(R233="-","",IF(ISERROR(INDEX('Inventaire M'!$A$2:$AD$9319,MATCH(R233,'Inventaire M'!$A:$A,0)-1,MATCH("Cours EUR",'Inventaire M'!#REF!,0))),"Sell",INDEX('Inventaire M'!$A$2:$AD$9319,MATCH(R233,'Inventaire M'!$A:$A,0)-1,MATCH("Cours EUR",'Inventaire M'!#REF!,0))))</f>
        <v>#REF!</v>
      </c>
      <c r="W233" s="175"/>
      <c r="X233" s="156" t="e">
        <f>IF(R233="-","",INDEX('Inventaire M-1'!$A$2:$AG$9334,MATCH(R233,'Inventaire M-1'!$A:$A,0)-1,MATCH("quantite",'Inventaire M-1'!#REF!,0)))</f>
        <v>#REF!</v>
      </c>
      <c r="Y233" s="156" t="e">
        <f>IF(S233="-","",IF(ISERROR(INDEX('Inventaire M'!$A$2:$AD$9319,MATCH(R233,'Inventaire M'!$A:$A,0)-1,MATCH("quantite",'Inventaire M'!#REF!,0))),"Sell",INDEX('Inventaire M'!$A$2:$AD$9319,MATCH(R233,'Inventaire M'!$A:$A,0)-1,MATCH("quantite",'Inventaire M'!#REF!,0))))</f>
        <v>#REF!</v>
      </c>
      <c r="Z233" s="175"/>
      <c r="AA233" s="155" t="e">
        <f>IF(R233="-","",INDEX('Inventaire M-1'!$A$2:$AG$9334,MATCH(R233,'Inventaire M-1'!$A:$A,0)-1,MATCH("poids",'Inventaire M-1'!#REF!,0)))</f>
        <v>#REF!</v>
      </c>
      <c r="AB233" s="155" t="e">
        <f>IF(R233="-","",IF(ISERROR(INDEX('Inventaire M'!$A$2:$AD$9319,MATCH(R233,'Inventaire M'!$A:$A,0)-1,MATCH("poids",'Inventaire M'!#REF!,0))),"Sell",INDEX('Inventaire M'!$A$2:$AD$9319,MATCH(R233,'Inventaire M'!$A:$A,0)-1,MATCH("poids",'Inventaire M'!#REF!,0))))</f>
        <v>#REF!</v>
      </c>
      <c r="AC233" s="175"/>
      <c r="AD233" s="157" t="str">
        <f t="shared" si="27"/>
        <v>0</v>
      </c>
      <c r="AE233" s="98" t="str">
        <f t="shared" si="28"/>
        <v/>
      </c>
      <c r="AF233" s="80" t="e">
        <f t="shared" si="29"/>
        <v>#REF!</v>
      </c>
    </row>
    <row r="234" spans="2:32" outlineLevel="1">
      <c r="B234" s="175" t="str">
        <f>IF(OR('Inventaire M'!D12="Dispo/Liquidité Investie",'Inventaire M'!D12="Option/Future",'Inventaire M'!D12="TCN",'Inventaire M'!D12=""),"-",'Inventaire M'!A12)</f>
        <v>FR00140005L7</v>
      </c>
      <c r="C234" s="175" t="str">
        <f>IF(OR('Inventaire M'!D12="Dispo/Liquidité Investie",'Inventaire M'!D12="Option/Future",'Inventaire M'!D12="TCN",'Inventaire M'!D12=""),"-",'Inventaire M'!B12)</f>
        <v>ORANGE SA PERP</v>
      </c>
      <c r="D234" s="175"/>
      <c r="E234" s="175" t="e">
        <f>IF(B234="-","",INDEX('Inventaire M'!$A$2:$AW$9305,MATCH(B234,'Inventaire M'!$A:$A,0)-1,MATCH("Cours EUR",'Inventaire M'!#REF!,0)))</f>
        <v>#REF!</v>
      </c>
      <c r="F234" s="175" t="str">
        <f>IF(B234="-","",IF(ISERROR(INDEX('Inventaire M-1'!$A$2:$AZ$9320,MATCH(B234,'Inventaire M-1'!$A:$A,0)-1,MATCH("Cours EUR",'Inventaire M-1'!#REF!,0))),"Buy",INDEX('Inventaire M-1'!$A$2:$AZ$9320,MATCH(B234,'Inventaire M-1'!$A:$A,0)-1,MATCH("Cours EUR",'Inventaire M-1'!#REF!,0))))</f>
        <v>Buy</v>
      </c>
      <c r="G234" s="175"/>
      <c r="H234" s="156" t="e">
        <f>IF(B234="-","",INDEX('Inventaire M'!$A$2:$AW$9305,MATCH(B234,'Inventaire M'!$A:$A,0)-1,MATCH("quantite",'Inventaire M'!#REF!,0)))</f>
        <v>#REF!</v>
      </c>
      <c r="I234" s="156" t="str">
        <f>IF(C234="-","",IF(ISERROR(INDEX('Inventaire M-1'!$A$2:$AZ$9320,MATCH(B234,'Inventaire M-1'!$A:$A,0)-1,MATCH("quantite",'Inventaire M-1'!#REF!,0))),"Buy",INDEX('Inventaire M-1'!$A$2:$AZ$9320,MATCH(B234,'Inventaire M-1'!$A:$A,0)-1,MATCH("quantite",'Inventaire M-1'!#REF!,0))))</f>
        <v>Buy</v>
      </c>
      <c r="J234" s="175"/>
      <c r="K234" s="155" t="e">
        <f>IF(B234="-","",INDEX('Inventaire M'!$A$2:$AW$9305,MATCH(B234,'Inventaire M'!$A:$A,0)-1,MATCH("poids",'Inventaire M'!#REF!,0)))</f>
        <v>#REF!</v>
      </c>
      <c r="L234" s="155" t="str">
        <f>IF(B234="-","",IF(ISERROR(INDEX('Inventaire M-1'!$A$2:$AZ$9320,MATCH(B234,'Inventaire M-1'!$A:$A,0)-1,MATCH("poids",'Inventaire M-1'!#REF!,0))),"Buy",INDEX('Inventaire M-1'!$A$2:$AZ$9320,MATCH(B234,'Inventaire M-1'!$A:$A,0)-1,MATCH("poids",'Inventaire M-1'!#REF!,0))))</f>
        <v>Buy</v>
      </c>
      <c r="M234" s="175"/>
      <c r="N234" s="157" t="str">
        <f t="shared" si="24"/>
        <v>0</v>
      </c>
      <c r="O234" s="98" t="str">
        <f t="shared" si="25"/>
        <v/>
      </c>
      <c r="P234" s="80" t="str">
        <f t="shared" si="26"/>
        <v>ORANGE SA PERP</v>
      </c>
      <c r="Q234" s="75">
        <v>2.0999999999999999E-8</v>
      </c>
      <c r="R234" s="175" t="e">
        <f>IF(OR('Inventaire M-1'!#REF!="Dispo/Liquidité Investie",'Inventaire M-1'!#REF!="Option/Future",'Inventaire M-1'!#REF!="TCN",'Inventaire M-1'!#REF!=""),"-",'Inventaire M-1'!#REF!)</f>
        <v>#REF!</v>
      </c>
      <c r="S234" s="175" t="e">
        <f>IF(OR('Inventaire M-1'!#REF!="Dispo/Liquidité Investie",'Inventaire M-1'!#REF!="Option/Future",'Inventaire M-1'!#REF!="TCN",'Inventaire M-1'!#REF!=""),"-",'Inventaire M-1'!#REF!)</f>
        <v>#REF!</v>
      </c>
      <c r="T234" s="175"/>
      <c r="U234" s="175" t="e">
        <f>IF(R234="-","",INDEX('Inventaire M-1'!$A$2:$AG$9334,MATCH(R234,'Inventaire M-1'!$A:$A,0)-1,MATCH("Cours EUR",'Inventaire M-1'!#REF!,0)))</f>
        <v>#REF!</v>
      </c>
      <c r="V234" s="175" t="e">
        <f>IF(R234="-","",IF(ISERROR(INDEX('Inventaire M'!$A$2:$AD$9319,MATCH(R234,'Inventaire M'!$A:$A,0)-1,MATCH("Cours EUR",'Inventaire M'!#REF!,0))),"Sell",INDEX('Inventaire M'!$A$2:$AD$9319,MATCH(R234,'Inventaire M'!$A:$A,0)-1,MATCH("Cours EUR",'Inventaire M'!#REF!,0))))</f>
        <v>#REF!</v>
      </c>
      <c r="W234" s="175"/>
      <c r="X234" s="156" t="e">
        <f>IF(R234="-","",INDEX('Inventaire M-1'!$A$2:$AG$9334,MATCH(R234,'Inventaire M-1'!$A:$A,0)-1,MATCH("quantite",'Inventaire M-1'!#REF!,0)))</f>
        <v>#REF!</v>
      </c>
      <c r="Y234" s="156" t="e">
        <f>IF(S234="-","",IF(ISERROR(INDEX('Inventaire M'!$A$2:$AD$9319,MATCH(R234,'Inventaire M'!$A:$A,0)-1,MATCH("quantite",'Inventaire M'!#REF!,0))),"Sell",INDEX('Inventaire M'!$A$2:$AD$9319,MATCH(R234,'Inventaire M'!$A:$A,0)-1,MATCH("quantite",'Inventaire M'!#REF!,0))))</f>
        <v>#REF!</v>
      </c>
      <c r="Z234" s="175"/>
      <c r="AA234" s="155" t="e">
        <f>IF(R234="-","",INDEX('Inventaire M-1'!$A$2:$AG$9334,MATCH(R234,'Inventaire M-1'!$A:$A,0)-1,MATCH("poids",'Inventaire M-1'!#REF!,0)))</f>
        <v>#REF!</v>
      </c>
      <c r="AB234" s="155" t="e">
        <f>IF(R234="-","",IF(ISERROR(INDEX('Inventaire M'!$A$2:$AD$9319,MATCH(R234,'Inventaire M'!$A:$A,0)-1,MATCH("poids",'Inventaire M'!#REF!,0))),"Sell",INDEX('Inventaire M'!$A$2:$AD$9319,MATCH(R234,'Inventaire M'!$A:$A,0)-1,MATCH("poids",'Inventaire M'!#REF!,0))))</f>
        <v>#REF!</v>
      </c>
      <c r="AC234" s="175"/>
      <c r="AD234" s="157" t="str">
        <f t="shared" si="27"/>
        <v>0</v>
      </c>
      <c r="AE234" s="98" t="str">
        <f t="shared" si="28"/>
        <v/>
      </c>
      <c r="AF234" s="80" t="e">
        <f t="shared" si="29"/>
        <v>#REF!</v>
      </c>
    </row>
    <row r="235" spans="2:32" outlineLevel="1">
      <c r="B235" s="175" t="str">
        <f>IF(OR('Inventaire M'!D13="Dispo/Liquidité Investie",'Inventaire M'!D13="Option/Future",'Inventaire M'!D13="TCN",'Inventaire M'!D13=""),"-",'Inventaire M'!A13)</f>
        <v>FR00140007L3</v>
      </c>
      <c r="C235" s="175" t="str">
        <f>IF(OR('Inventaire M'!D13="Dispo/Liquidité Investie",'Inventaire M'!D13="Option/Future",'Inventaire M'!D13="TCN",'Inventaire M'!D13=""),"-",'Inventaire M'!B13)</f>
        <v>VEOLIA ENVIRONNEMENT SA NC8.5 PERP</v>
      </c>
      <c r="D235" s="175"/>
      <c r="E235" s="175" t="e">
        <f>IF(B235="-","",INDEX('Inventaire M'!$A$2:$AW$9305,MATCH(B235,'Inventaire M'!$A:$A,0)-1,MATCH("Cours EUR",'Inventaire M'!#REF!,0)))</f>
        <v>#REF!</v>
      </c>
      <c r="F235" s="175" t="str">
        <f>IF(B235="-","",IF(ISERROR(INDEX('Inventaire M-1'!$A$2:$AZ$9320,MATCH(B235,'Inventaire M-1'!$A:$A,0)-1,MATCH("Cours EUR",'Inventaire M-1'!#REF!,0))),"Buy",INDEX('Inventaire M-1'!$A$2:$AZ$9320,MATCH(B235,'Inventaire M-1'!$A:$A,0)-1,MATCH("Cours EUR",'Inventaire M-1'!#REF!,0))))</f>
        <v>Buy</v>
      </c>
      <c r="G235" s="175"/>
      <c r="H235" s="156" t="e">
        <f>IF(B235="-","",INDEX('Inventaire M'!$A$2:$AW$9305,MATCH(B235,'Inventaire M'!$A:$A,0)-1,MATCH("quantite",'Inventaire M'!#REF!,0)))</f>
        <v>#REF!</v>
      </c>
      <c r="I235" s="156" t="str">
        <f>IF(C235="-","",IF(ISERROR(INDEX('Inventaire M-1'!$A$2:$AZ$9320,MATCH(B235,'Inventaire M-1'!$A:$A,0)-1,MATCH("quantite",'Inventaire M-1'!#REF!,0))),"Buy",INDEX('Inventaire M-1'!$A$2:$AZ$9320,MATCH(B235,'Inventaire M-1'!$A:$A,0)-1,MATCH("quantite",'Inventaire M-1'!#REF!,0))))</f>
        <v>Buy</v>
      </c>
      <c r="J235" s="175"/>
      <c r="K235" s="155" t="e">
        <f>IF(B235="-","",INDEX('Inventaire M'!$A$2:$AW$9305,MATCH(B235,'Inventaire M'!$A:$A,0)-1,MATCH("poids",'Inventaire M'!#REF!,0)))</f>
        <v>#REF!</v>
      </c>
      <c r="L235" s="155" t="str">
        <f>IF(B235="-","",IF(ISERROR(INDEX('Inventaire M-1'!$A$2:$AZ$9320,MATCH(B235,'Inventaire M-1'!$A:$A,0)-1,MATCH("poids",'Inventaire M-1'!#REF!,0))),"Buy",INDEX('Inventaire M-1'!$A$2:$AZ$9320,MATCH(B235,'Inventaire M-1'!$A:$A,0)-1,MATCH("poids",'Inventaire M-1'!#REF!,0))))</f>
        <v>Buy</v>
      </c>
      <c r="M235" s="175"/>
      <c r="N235" s="157" t="str">
        <f t="shared" si="24"/>
        <v>0</v>
      </c>
      <c r="O235" s="98" t="str">
        <f t="shared" si="25"/>
        <v/>
      </c>
      <c r="P235" s="80" t="str">
        <f t="shared" si="26"/>
        <v>VEOLIA ENVIRONNEMENT SA NC8.5 PERP</v>
      </c>
      <c r="Q235" s="75">
        <v>2.11E-8</v>
      </c>
      <c r="R235" s="175" t="e">
        <f>IF(OR('Inventaire M-1'!#REF!="Dispo/Liquidité Investie",'Inventaire M-1'!#REF!="Option/Future",'Inventaire M-1'!#REF!="TCN",'Inventaire M-1'!#REF!=""),"-",'Inventaire M-1'!#REF!)</f>
        <v>#REF!</v>
      </c>
      <c r="S235" s="175" t="e">
        <f>IF(OR('Inventaire M-1'!#REF!="Dispo/Liquidité Investie",'Inventaire M-1'!#REF!="Option/Future",'Inventaire M-1'!#REF!="TCN",'Inventaire M-1'!#REF!=""),"-",'Inventaire M-1'!#REF!)</f>
        <v>#REF!</v>
      </c>
      <c r="T235" s="175"/>
      <c r="U235" s="175" t="e">
        <f>IF(R235="-","",INDEX('Inventaire M-1'!$A$2:$AG$9334,MATCH(R235,'Inventaire M-1'!$A:$A,0)-1,MATCH("Cours EUR",'Inventaire M-1'!#REF!,0)))</f>
        <v>#REF!</v>
      </c>
      <c r="V235" s="175" t="e">
        <f>IF(R235="-","",IF(ISERROR(INDEX('Inventaire M'!$A$2:$AD$9319,MATCH(R235,'Inventaire M'!$A:$A,0)-1,MATCH("Cours EUR",'Inventaire M'!#REF!,0))),"Sell",INDEX('Inventaire M'!$A$2:$AD$9319,MATCH(R235,'Inventaire M'!$A:$A,0)-1,MATCH("Cours EUR",'Inventaire M'!#REF!,0))))</f>
        <v>#REF!</v>
      </c>
      <c r="W235" s="175"/>
      <c r="X235" s="156" t="e">
        <f>IF(R235="-","",INDEX('Inventaire M-1'!$A$2:$AG$9334,MATCH(R235,'Inventaire M-1'!$A:$A,0)-1,MATCH("quantite",'Inventaire M-1'!#REF!,0)))</f>
        <v>#REF!</v>
      </c>
      <c r="Y235" s="156" t="e">
        <f>IF(S235="-","",IF(ISERROR(INDEX('Inventaire M'!$A$2:$AD$9319,MATCH(R235,'Inventaire M'!$A:$A,0)-1,MATCH("quantite",'Inventaire M'!#REF!,0))),"Sell",INDEX('Inventaire M'!$A$2:$AD$9319,MATCH(R235,'Inventaire M'!$A:$A,0)-1,MATCH("quantite",'Inventaire M'!#REF!,0))))</f>
        <v>#REF!</v>
      </c>
      <c r="Z235" s="175"/>
      <c r="AA235" s="155" t="e">
        <f>IF(R235="-","",INDEX('Inventaire M-1'!$A$2:$AG$9334,MATCH(R235,'Inventaire M-1'!$A:$A,0)-1,MATCH("poids",'Inventaire M-1'!#REF!,0)))</f>
        <v>#REF!</v>
      </c>
      <c r="AB235" s="155" t="e">
        <f>IF(R235="-","",IF(ISERROR(INDEX('Inventaire M'!$A$2:$AD$9319,MATCH(R235,'Inventaire M'!$A:$A,0)-1,MATCH("poids",'Inventaire M'!#REF!,0))),"Sell",INDEX('Inventaire M'!$A$2:$AD$9319,MATCH(R235,'Inventaire M'!$A:$A,0)-1,MATCH("poids",'Inventaire M'!#REF!,0))))</f>
        <v>#REF!</v>
      </c>
      <c r="AC235" s="175"/>
      <c r="AD235" s="157" t="str">
        <f t="shared" si="27"/>
        <v>0</v>
      </c>
      <c r="AE235" s="98" t="str">
        <f t="shared" si="28"/>
        <v/>
      </c>
      <c r="AF235" s="80" t="e">
        <f t="shared" si="29"/>
        <v>#REF!</v>
      </c>
    </row>
    <row r="236" spans="2:32" outlineLevel="1">
      <c r="B236" s="175" t="str">
        <f>IF(OR('Inventaire M'!D14="Dispo/Liquidité Investie",'Inventaire M'!D14="Option/Future",'Inventaire M'!D14="TCN",'Inventaire M'!D14=""),"-",'Inventaire M'!A14)</f>
        <v>FR00140010J1</v>
      </c>
      <c r="C236" s="175" t="str">
        <f>IF(OR('Inventaire M'!D14="Dispo/Liquidité Investie",'Inventaire M'!D14="Option/Future",'Inventaire M'!D14="TCN",'Inventaire M'!D14=""),"-",'Inventaire M'!B14)</f>
        <v>ALTAREA SCA 1.75 16/01/2030</v>
      </c>
      <c r="D236" s="175"/>
      <c r="E236" s="175" t="e">
        <f>IF(B236="-","",INDEX('Inventaire M'!$A$2:$AW$9305,MATCH(B236,'Inventaire M'!$A:$A,0)-1,MATCH("Cours EUR",'Inventaire M'!#REF!,0)))</f>
        <v>#REF!</v>
      </c>
      <c r="F236" s="175" t="str">
        <f>IF(B236="-","",IF(ISERROR(INDEX('Inventaire M-1'!$A$2:$AZ$9320,MATCH(B236,'Inventaire M-1'!$A:$A,0)-1,MATCH("Cours EUR",'Inventaire M-1'!#REF!,0))),"Buy",INDEX('Inventaire M-1'!$A$2:$AZ$9320,MATCH(B236,'Inventaire M-1'!$A:$A,0)-1,MATCH("Cours EUR",'Inventaire M-1'!#REF!,0))))</f>
        <v>Buy</v>
      </c>
      <c r="G236" s="175"/>
      <c r="H236" s="156" t="e">
        <f>IF(B236="-","",INDEX('Inventaire M'!$A$2:$AW$9305,MATCH(B236,'Inventaire M'!$A:$A,0)-1,MATCH("quantite",'Inventaire M'!#REF!,0)))</f>
        <v>#REF!</v>
      </c>
      <c r="I236" s="156" t="str">
        <f>IF(C236="-","",IF(ISERROR(INDEX('Inventaire M-1'!$A$2:$AZ$9320,MATCH(B236,'Inventaire M-1'!$A:$A,0)-1,MATCH("quantite",'Inventaire M-1'!#REF!,0))),"Buy",INDEX('Inventaire M-1'!$A$2:$AZ$9320,MATCH(B236,'Inventaire M-1'!$A:$A,0)-1,MATCH("quantite",'Inventaire M-1'!#REF!,0))))</f>
        <v>Buy</v>
      </c>
      <c r="J236" s="175"/>
      <c r="K236" s="155" t="e">
        <f>IF(B236="-","",INDEX('Inventaire M'!$A$2:$AW$9305,MATCH(B236,'Inventaire M'!$A:$A,0)-1,MATCH("poids",'Inventaire M'!#REF!,0)))</f>
        <v>#REF!</v>
      </c>
      <c r="L236" s="155" t="str">
        <f>IF(B236="-","",IF(ISERROR(INDEX('Inventaire M-1'!$A$2:$AZ$9320,MATCH(B236,'Inventaire M-1'!$A:$A,0)-1,MATCH("poids",'Inventaire M-1'!#REF!,0))),"Buy",INDEX('Inventaire M-1'!$A$2:$AZ$9320,MATCH(B236,'Inventaire M-1'!$A:$A,0)-1,MATCH("poids",'Inventaire M-1'!#REF!,0))))</f>
        <v>Buy</v>
      </c>
      <c r="M236" s="175"/>
      <c r="N236" s="157" t="str">
        <f t="shared" si="24"/>
        <v>0</v>
      </c>
      <c r="O236" s="98" t="str">
        <f t="shared" si="25"/>
        <v/>
      </c>
      <c r="P236" s="80" t="str">
        <f t="shared" si="26"/>
        <v>ALTAREA SCA 1.75 16/01/2030</v>
      </c>
      <c r="Q236" s="75">
        <v>2.1200000000000001E-8</v>
      </c>
      <c r="R236" s="175" t="e">
        <f>IF(OR('Inventaire M-1'!#REF!="Dispo/Liquidité Investie",'Inventaire M-1'!#REF!="Option/Future",'Inventaire M-1'!#REF!="TCN",'Inventaire M-1'!#REF!=""),"-",'Inventaire M-1'!#REF!)</f>
        <v>#REF!</v>
      </c>
      <c r="S236" s="175" t="e">
        <f>IF(OR('Inventaire M-1'!#REF!="Dispo/Liquidité Investie",'Inventaire M-1'!#REF!="Option/Future",'Inventaire M-1'!#REF!="TCN",'Inventaire M-1'!#REF!=""),"-",'Inventaire M-1'!#REF!)</f>
        <v>#REF!</v>
      </c>
      <c r="T236" s="175"/>
      <c r="U236" s="175" t="e">
        <f>IF(R236="-","",INDEX('Inventaire M-1'!$A$2:$AG$9334,MATCH(R236,'Inventaire M-1'!$A:$A,0)-1,MATCH("Cours EUR",'Inventaire M-1'!#REF!,0)))</f>
        <v>#REF!</v>
      </c>
      <c r="V236" s="175" t="e">
        <f>IF(R236="-","",IF(ISERROR(INDEX('Inventaire M'!$A$2:$AD$9319,MATCH(R236,'Inventaire M'!$A:$A,0)-1,MATCH("Cours EUR",'Inventaire M'!#REF!,0))),"Sell",INDEX('Inventaire M'!$A$2:$AD$9319,MATCH(R236,'Inventaire M'!$A:$A,0)-1,MATCH("Cours EUR",'Inventaire M'!#REF!,0))))</f>
        <v>#REF!</v>
      </c>
      <c r="W236" s="175"/>
      <c r="X236" s="156" t="e">
        <f>IF(R236="-","",INDEX('Inventaire M-1'!$A$2:$AG$9334,MATCH(R236,'Inventaire M-1'!$A:$A,0)-1,MATCH("quantite",'Inventaire M-1'!#REF!,0)))</f>
        <v>#REF!</v>
      </c>
      <c r="Y236" s="156" t="e">
        <f>IF(S236="-","",IF(ISERROR(INDEX('Inventaire M'!$A$2:$AD$9319,MATCH(R236,'Inventaire M'!$A:$A,0)-1,MATCH("quantite",'Inventaire M'!#REF!,0))),"Sell",INDEX('Inventaire M'!$A$2:$AD$9319,MATCH(R236,'Inventaire M'!$A:$A,0)-1,MATCH("quantite",'Inventaire M'!#REF!,0))))</f>
        <v>#REF!</v>
      </c>
      <c r="Z236" s="175"/>
      <c r="AA236" s="155" t="e">
        <f>IF(R236="-","",INDEX('Inventaire M-1'!$A$2:$AG$9334,MATCH(R236,'Inventaire M-1'!$A:$A,0)-1,MATCH("poids",'Inventaire M-1'!#REF!,0)))</f>
        <v>#REF!</v>
      </c>
      <c r="AB236" s="155" t="e">
        <f>IF(R236="-","",IF(ISERROR(INDEX('Inventaire M'!$A$2:$AD$9319,MATCH(R236,'Inventaire M'!$A:$A,0)-1,MATCH("poids",'Inventaire M'!#REF!,0))),"Sell",INDEX('Inventaire M'!$A$2:$AD$9319,MATCH(R236,'Inventaire M'!$A:$A,0)-1,MATCH("poids",'Inventaire M'!#REF!,0))))</f>
        <v>#REF!</v>
      </c>
      <c r="AC236" s="175"/>
      <c r="AD236" s="157" t="str">
        <f t="shared" si="27"/>
        <v>0</v>
      </c>
      <c r="AE236" s="98" t="str">
        <f t="shared" si="28"/>
        <v/>
      </c>
      <c r="AF236" s="80" t="e">
        <f t="shared" si="29"/>
        <v>#REF!</v>
      </c>
    </row>
    <row r="237" spans="2:32" outlineLevel="1">
      <c r="B237" s="175" t="str">
        <f>IF(OR('Inventaire M'!D15="Dispo/Liquidité Investie",'Inventaire M'!D15="Option/Future",'Inventaire M'!D15="TCN",'Inventaire M'!D15=""),"-",'Inventaire M'!A15)</f>
        <v>FR001400FV85</v>
      </c>
      <c r="C237" s="175" t="str">
        <f>IF(OR('Inventaire M'!D15="Dispo/Liquidité Investie",'Inventaire M'!D15="Option/Future",'Inventaire M'!D15="TCN",'Inventaire M'!D15=""),"-",'Inventaire M'!B15)</f>
        <v>ILIAD SA 5.625 15/02/2030</v>
      </c>
      <c r="D237" s="175"/>
      <c r="E237" s="175" t="e">
        <f>IF(B237="-","",INDEX('Inventaire M'!$A$2:$AW$9305,MATCH(B237,'Inventaire M'!$A:$A,0)-1,MATCH("Cours EUR",'Inventaire M'!#REF!,0)))</f>
        <v>#REF!</v>
      </c>
      <c r="F237" s="175" t="str">
        <f>IF(B237="-","",IF(ISERROR(INDEX('Inventaire M-1'!$A$2:$AZ$9320,MATCH(B237,'Inventaire M-1'!$A:$A,0)-1,MATCH("Cours EUR",'Inventaire M-1'!#REF!,0))),"Buy",INDEX('Inventaire M-1'!$A$2:$AZ$9320,MATCH(B237,'Inventaire M-1'!$A:$A,0)-1,MATCH("Cours EUR",'Inventaire M-1'!#REF!,0))))</f>
        <v>Buy</v>
      </c>
      <c r="G237" s="175"/>
      <c r="H237" s="156" t="e">
        <f>IF(B237="-","",INDEX('Inventaire M'!$A$2:$AW$9305,MATCH(B237,'Inventaire M'!$A:$A,0)-1,MATCH("quantite",'Inventaire M'!#REF!,0)))</f>
        <v>#REF!</v>
      </c>
      <c r="I237" s="156" t="str">
        <f>IF(C237="-","",IF(ISERROR(INDEX('Inventaire M-1'!$A$2:$AZ$9320,MATCH(B237,'Inventaire M-1'!$A:$A,0)-1,MATCH("quantite",'Inventaire M-1'!#REF!,0))),"Buy",INDEX('Inventaire M-1'!$A$2:$AZ$9320,MATCH(B237,'Inventaire M-1'!$A:$A,0)-1,MATCH("quantite",'Inventaire M-1'!#REF!,0))))</f>
        <v>Buy</v>
      </c>
      <c r="J237" s="175"/>
      <c r="K237" s="155" t="e">
        <f>IF(B237="-","",INDEX('Inventaire M'!$A$2:$AW$9305,MATCH(B237,'Inventaire M'!$A:$A,0)-1,MATCH("poids",'Inventaire M'!#REF!,0)))</f>
        <v>#REF!</v>
      </c>
      <c r="L237" s="155" t="str">
        <f>IF(B237="-","",IF(ISERROR(INDEX('Inventaire M-1'!$A$2:$AZ$9320,MATCH(B237,'Inventaire M-1'!$A:$A,0)-1,MATCH("poids",'Inventaire M-1'!#REF!,0))),"Buy",INDEX('Inventaire M-1'!$A$2:$AZ$9320,MATCH(B237,'Inventaire M-1'!$A:$A,0)-1,MATCH("poids",'Inventaire M-1'!#REF!,0))))</f>
        <v>Buy</v>
      </c>
      <c r="M237" s="175"/>
      <c r="N237" s="157" t="str">
        <f t="shared" si="24"/>
        <v>0</v>
      </c>
      <c r="O237" s="98" t="str">
        <f t="shared" si="25"/>
        <v/>
      </c>
      <c r="P237" s="80" t="str">
        <f t="shared" si="26"/>
        <v>ILIAD SA 5.625 15/02/2030</v>
      </c>
      <c r="Q237" s="75">
        <v>2.1299999999999999E-8</v>
      </c>
      <c r="R237" s="175" t="e">
        <f>IF(OR('Inventaire M-1'!#REF!="Dispo/Liquidité Investie",'Inventaire M-1'!#REF!="Option/Future",'Inventaire M-1'!#REF!="TCN",'Inventaire M-1'!#REF!=""),"-",'Inventaire M-1'!#REF!)</f>
        <v>#REF!</v>
      </c>
      <c r="S237" s="175" t="e">
        <f>IF(OR('Inventaire M-1'!#REF!="Dispo/Liquidité Investie",'Inventaire M-1'!#REF!="Option/Future",'Inventaire M-1'!#REF!="TCN",'Inventaire M-1'!#REF!=""),"-",'Inventaire M-1'!#REF!)</f>
        <v>#REF!</v>
      </c>
      <c r="T237" s="175"/>
      <c r="U237" s="175" t="e">
        <f>IF(R237="-","",INDEX('Inventaire M-1'!$A$2:$AG$9334,MATCH(R237,'Inventaire M-1'!$A:$A,0)-1,MATCH("Cours EUR",'Inventaire M-1'!#REF!,0)))</f>
        <v>#REF!</v>
      </c>
      <c r="V237" s="175" t="e">
        <f>IF(R237="-","",IF(ISERROR(INDEX('Inventaire M'!$A$2:$AD$9319,MATCH(R237,'Inventaire M'!$A:$A,0)-1,MATCH("Cours EUR",'Inventaire M'!#REF!,0))),"Sell",INDEX('Inventaire M'!$A$2:$AD$9319,MATCH(R237,'Inventaire M'!$A:$A,0)-1,MATCH("Cours EUR",'Inventaire M'!#REF!,0))))</f>
        <v>#REF!</v>
      </c>
      <c r="W237" s="175"/>
      <c r="X237" s="156" t="e">
        <f>IF(R237="-","",INDEX('Inventaire M-1'!$A$2:$AG$9334,MATCH(R237,'Inventaire M-1'!$A:$A,0)-1,MATCH("quantite",'Inventaire M-1'!#REF!,0)))</f>
        <v>#REF!</v>
      </c>
      <c r="Y237" s="156" t="e">
        <f>IF(S237="-","",IF(ISERROR(INDEX('Inventaire M'!$A$2:$AD$9319,MATCH(R237,'Inventaire M'!$A:$A,0)-1,MATCH("quantite",'Inventaire M'!#REF!,0))),"Sell",INDEX('Inventaire M'!$A$2:$AD$9319,MATCH(R237,'Inventaire M'!$A:$A,0)-1,MATCH("quantite",'Inventaire M'!#REF!,0))))</f>
        <v>#REF!</v>
      </c>
      <c r="Z237" s="175"/>
      <c r="AA237" s="155" t="e">
        <f>IF(R237="-","",INDEX('Inventaire M-1'!$A$2:$AG$9334,MATCH(R237,'Inventaire M-1'!$A:$A,0)-1,MATCH("poids",'Inventaire M-1'!#REF!,0)))</f>
        <v>#REF!</v>
      </c>
      <c r="AB237" s="155" t="e">
        <f>IF(R237="-","",IF(ISERROR(INDEX('Inventaire M'!$A$2:$AD$9319,MATCH(R237,'Inventaire M'!$A:$A,0)-1,MATCH("poids",'Inventaire M'!#REF!,0))),"Sell",INDEX('Inventaire M'!$A$2:$AD$9319,MATCH(R237,'Inventaire M'!$A:$A,0)-1,MATCH("poids",'Inventaire M'!#REF!,0))))</f>
        <v>#REF!</v>
      </c>
      <c r="AC237" s="175"/>
      <c r="AD237" s="157" t="str">
        <f t="shared" si="27"/>
        <v>0</v>
      </c>
      <c r="AE237" s="98" t="str">
        <f t="shared" si="28"/>
        <v/>
      </c>
      <c r="AF237" s="80" t="e">
        <f t="shared" si="29"/>
        <v>#REF!</v>
      </c>
    </row>
    <row r="238" spans="2:32" outlineLevel="1">
      <c r="B238" s="175" t="str">
        <f>IF(OR('Inventaire M'!D16="Dispo/Liquidité Investie",'Inventaire M'!D16="Option/Future",'Inventaire M'!D16="TCN",'Inventaire M'!D16=""),"-",'Inventaire M'!A16)</f>
        <v>FR001400Q7G7</v>
      </c>
      <c r="C238" s="175" t="str">
        <f>IF(OR('Inventaire M'!D16="Dispo/Liquidité Investie",'Inventaire M'!D16="Option/Future",'Inventaire M'!D16="TCN",'Inventaire M'!D16=""),"-",'Inventaire M'!B16)</f>
        <v>ALSTOM SA PERP</v>
      </c>
      <c r="D238" s="175"/>
      <c r="E238" s="175" t="e">
        <f>IF(B238="-","",INDEX('Inventaire M'!$A$2:$AW$9305,MATCH(B238,'Inventaire M'!$A:$A,0)-1,MATCH("Cours EUR",'Inventaire M'!#REF!,0)))</f>
        <v>#REF!</v>
      </c>
      <c r="F238" s="175" t="str">
        <f>IF(B238="-","",IF(ISERROR(INDEX('Inventaire M-1'!$A$2:$AZ$9320,MATCH(B238,'Inventaire M-1'!$A:$A,0)-1,MATCH("Cours EUR",'Inventaire M-1'!#REF!,0))),"Buy",INDEX('Inventaire M-1'!$A$2:$AZ$9320,MATCH(B238,'Inventaire M-1'!$A:$A,0)-1,MATCH("Cours EUR",'Inventaire M-1'!#REF!,0))))</f>
        <v>Buy</v>
      </c>
      <c r="G238" s="175"/>
      <c r="H238" s="156" t="e">
        <f>IF(B238="-","",INDEX('Inventaire M'!$A$2:$AW$9305,MATCH(B238,'Inventaire M'!$A:$A,0)-1,MATCH("quantite",'Inventaire M'!#REF!,0)))</f>
        <v>#REF!</v>
      </c>
      <c r="I238" s="156" t="str">
        <f>IF(C238="-","",IF(ISERROR(INDEX('Inventaire M-1'!$A$2:$AZ$9320,MATCH(B238,'Inventaire M-1'!$A:$A,0)-1,MATCH("quantite",'Inventaire M-1'!#REF!,0))),"Buy",INDEX('Inventaire M-1'!$A$2:$AZ$9320,MATCH(B238,'Inventaire M-1'!$A:$A,0)-1,MATCH("quantite",'Inventaire M-1'!#REF!,0))))</f>
        <v>Buy</v>
      </c>
      <c r="J238" s="175"/>
      <c r="K238" s="155" t="e">
        <f>IF(B238="-","",INDEX('Inventaire M'!$A$2:$AW$9305,MATCH(B238,'Inventaire M'!$A:$A,0)-1,MATCH("poids",'Inventaire M'!#REF!,0)))</f>
        <v>#REF!</v>
      </c>
      <c r="L238" s="155" t="str">
        <f>IF(B238="-","",IF(ISERROR(INDEX('Inventaire M-1'!$A$2:$AZ$9320,MATCH(B238,'Inventaire M-1'!$A:$A,0)-1,MATCH("poids",'Inventaire M-1'!#REF!,0))),"Buy",INDEX('Inventaire M-1'!$A$2:$AZ$9320,MATCH(B238,'Inventaire M-1'!$A:$A,0)-1,MATCH("poids",'Inventaire M-1'!#REF!,0))))</f>
        <v>Buy</v>
      </c>
      <c r="M238" s="175"/>
      <c r="N238" s="157" t="str">
        <f t="shared" si="24"/>
        <v>0</v>
      </c>
      <c r="O238" s="98" t="str">
        <f t="shared" si="25"/>
        <v/>
      </c>
      <c r="P238" s="80" t="str">
        <f t="shared" si="26"/>
        <v>ALSTOM SA PERP</v>
      </c>
      <c r="Q238" s="75">
        <v>2.14E-8</v>
      </c>
      <c r="R238" s="175" t="e">
        <f>IF(OR('Inventaire M-1'!#REF!="Dispo/Liquidité Investie",'Inventaire M-1'!#REF!="Option/Future",'Inventaire M-1'!#REF!="TCN",'Inventaire M-1'!#REF!=""),"-",'Inventaire M-1'!#REF!)</f>
        <v>#REF!</v>
      </c>
      <c r="S238" s="175" t="e">
        <f>IF(OR('Inventaire M-1'!#REF!="Dispo/Liquidité Investie",'Inventaire M-1'!#REF!="Option/Future",'Inventaire M-1'!#REF!="TCN",'Inventaire M-1'!#REF!=""),"-",'Inventaire M-1'!#REF!)</f>
        <v>#REF!</v>
      </c>
      <c r="T238" s="175"/>
      <c r="U238" s="175" t="e">
        <f>IF(R238="-","",INDEX('Inventaire M-1'!$A$2:$AG$9334,MATCH(R238,'Inventaire M-1'!$A:$A,0)-1,MATCH("Cours EUR",'Inventaire M-1'!#REF!,0)))</f>
        <v>#REF!</v>
      </c>
      <c r="V238" s="175" t="e">
        <f>IF(R238="-","",IF(ISERROR(INDEX('Inventaire M'!$A$2:$AD$9319,MATCH(R238,'Inventaire M'!$A:$A,0)-1,MATCH("Cours EUR",'Inventaire M'!#REF!,0))),"Sell",INDEX('Inventaire M'!$A$2:$AD$9319,MATCH(R238,'Inventaire M'!$A:$A,0)-1,MATCH("Cours EUR",'Inventaire M'!#REF!,0))))</f>
        <v>#REF!</v>
      </c>
      <c r="W238" s="175"/>
      <c r="X238" s="156" t="e">
        <f>IF(R238="-","",INDEX('Inventaire M-1'!$A$2:$AG$9334,MATCH(R238,'Inventaire M-1'!$A:$A,0)-1,MATCH("quantite",'Inventaire M-1'!#REF!,0)))</f>
        <v>#REF!</v>
      </c>
      <c r="Y238" s="156" t="e">
        <f>IF(S238="-","",IF(ISERROR(INDEX('Inventaire M'!$A$2:$AD$9319,MATCH(R238,'Inventaire M'!$A:$A,0)-1,MATCH("quantite",'Inventaire M'!#REF!,0))),"Sell",INDEX('Inventaire M'!$A$2:$AD$9319,MATCH(R238,'Inventaire M'!$A:$A,0)-1,MATCH("quantite",'Inventaire M'!#REF!,0))))</f>
        <v>#REF!</v>
      </c>
      <c r="Z238" s="175"/>
      <c r="AA238" s="155" t="e">
        <f>IF(R238="-","",INDEX('Inventaire M-1'!$A$2:$AG$9334,MATCH(R238,'Inventaire M-1'!$A:$A,0)-1,MATCH("poids",'Inventaire M-1'!#REF!,0)))</f>
        <v>#REF!</v>
      </c>
      <c r="AB238" s="155" t="e">
        <f>IF(R238="-","",IF(ISERROR(INDEX('Inventaire M'!$A$2:$AD$9319,MATCH(R238,'Inventaire M'!$A:$A,0)-1,MATCH("poids",'Inventaire M'!#REF!,0))),"Sell",INDEX('Inventaire M'!$A$2:$AD$9319,MATCH(R238,'Inventaire M'!$A:$A,0)-1,MATCH("poids",'Inventaire M'!#REF!,0))))</f>
        <v>#REF!</v>
      </c>
      <c r="AC238" s="175"/>
      <c r="AD238" s="157" t="str">
        <f t="shared" si="27"/>
        <v>0</v>
      </c>
      <c r="AE238" s="98" t="str">
        <f t="shared" si="28"/>
        <v/>
      </c>
      <c r="AF238" s="80" t="e">
        <f t="shared" si="29"/>
        <v>#REF!</v>
      </c>
    </row>
    <row r="239" spans="2:32" outlineLevel="1">
      <c r="B239" s="175" t="str">
        <f>IF(OR('Inventaire M'!D17="Dispo/Liquidité Investie",'Inventaire M'!D17="Option/Future",'Inventaire M'!D17="TCN",'Inventaire M'!D17=""),"-",'Inventaire M'!A17)</f>
        <v>FR001400QOL3</v>
      </c>
      <c r="C239" s="175" t="str">
        <f>IF(OR('Inventaire M'!D17="Dispo/Liquidité Investie",'Inventaire M'!D17="Option/Future",'Inventaire M'!D17="TCN",'Inventaire M'!D17=""),"-",'Inventaire M'!B17)</f>
        <v>ENGIE SA NC9 PERP</v>
      </c>
      <c r="D239" s="175"/>
      <c r="E239" s="175" t="e">
        <f>IF(B239="-","",INDEX('Inventaire M'!$A$2:$AW$9305,MATCH(B239,'Inventaire M'!$A:$A,0)-1,MATCH("Cours EUR",'Inventaire M'!#REF!,0)))</f>
        <v>#REF!</v>
      </c>
      <c r="F239" s="175" t="str">
        <f>IF(B239="-","",IF(ISERROR(INDEX('Inventaire M-1'!$A$2:$AZ$9320,MATCH(B239,'Inventaire M-1'!$A:$A,0)-1,MATCH("Cours EUR",'Inventaire M-1'!#REF!,0))),"Buy",INDEX('Inventaire M-1'!$A$2:$AZ$9320,MATCH(B239,'Inventaire M-1'!$A:$A,0)-1,MATCH("Cours EUR",'Inventaire M-1'!#REF!,0))))</f>
        <v>Buy</v>
      </c>
      <c r="G239" s="175"/>
      <c r="H239" s="156" t="e">
        <f>IF(B239="-","",INDEX('Inventaire M'!$A$2:$AW$9305,MATCH(B239,'Inventaire M'!$A:$A,0)-1,MATCH("quantite",'Inventaire M'!#REF!,0)))</f>
        <v>#REF!</v>
      </c>
      <c r="I239" s="156" t="str">
        <f>IF(C239="-","",IF(ISERROR(INDEX('Inventaire M-1'!$A$2:$AZ$9320,MATCH(B239,'Inventaire M-1'!$A:$A,0)-1,MATCH("quantite",'Inventaire M-1'!#REF!,0))),"Buy",INDEX('Inventaire M-1'!$A$2:$AZ$9320,MATCH(B239,'Inventaire M-1'!$A:$A,0)-1,MATCH("quantite",'Inventaire M-1'!#REF!,0))))</f>
        <v>Buy</v>
      </c>
      <c r="J239" s="175"/>
      <c r="K239" s="155" t="e">
        <f>IF(B239="-","",INDEX('Inventaire M'!$A$2:$AW$9305,MATCH(B239,'Inventaire M'!$A:$A,0)-1,MATCH("poids",'Inventaire M'!#REF!,0)))</f>
        <v>#REF!</v>
      </c>
      <c r="L239" s="155" t="str">
        <f>IF(B239="-","",IF(ISERROR(INDEX('Inventaire M-1'!$A$2:$AZ$9320,MATCH(B239,'Inventaire M-1'!$A:$A,0)-1,MATCH("poids",'Inventaire M-1'!#REF!,0))),"Buy",INDEX('Inventaire M-1'!$A$2:$AZ$9320,MATCH(B239,'Inventaire M-1'!$A:$A,0)-1,MATCH("poids",'Inventaire M-1'!#REF!,0))))</f>
        <v>Buy</v>
      </c>
      <c r="M239" s="175"/>
      <c r="N239" s="157" t="str">
        <f t="shared" si="24"/>
        <v>0</v>
      </c>
      <c r="O239" s="98" t="str">
        <f t="shared" si="25"/>
        <v/>
      </c>
      <c r="P239" s="80" t="str">
        <f t="shared" si="26"/>
        <v>ENGIE SA NC9 PERP</v>
      </c>
      <c r="Q239" s="75">
        <v>2.1500000000000001E-8</v>
      </c>
      <c r="R239" s="175" t="e">
        <f>IF(OR('Inventaire M-1'!#REF!="Dispo/Liquidité Investie",'Inventaire M-1'!#REF!="Option/Future",'Inventaire M-1'!#REF!="TCN",'Inventaire M-1'!#REF!=""),"-",'Inventaire M-1'!#REF!)</f>
        <v>#REF!</v>
      </c>
      <c r="S239" s="175" t="e">
        <f>IF(OR('Inventaire M-1'!#REF!="Dispo/Liquidité Investie",'Inventaire M-1'!#REF!="Option/Future",'Inventaire M-1'!#REF!="TCN",'Inventaire M-1'!#REF!=""),"-",'Inventaire M-1'!#REF!)</f>
        <v>#REF!</v>
      </c>
      <c r="T239" s="175"/>
      <c r="U239" s="175" t="e">
        <f>IF(R239="-","",INDEX('Inventaire M-1'!$A$2:$AG$9334,MATCH(R239,'Inventaire M-1'!$A:$A,0)-1,MATCH("Cours EUR",'Inventaire M-1'!#REF!,0)))</f>
        <v>#REF!</v>
      </c>
      <c r="V239" s="175" t="e">
        <f>IF(R239="-","",IF(ISERROR(INDEX('Inventaire M'!$A$2:$AD$9319,MATCH(R239,'Inventaire M'!$A:$A,0)-1,MATCH("Cours EUR",'Inventaire M'!#REF!,0))),"Sell",INDEX('Inventaire M'!$A$2:$AD$9319,MATCH(R239,'Inventaire M'!$A:$A,0)-1,MATCH("Cours EUR",'Inventaire M'!#REF!,0))))</f>
        <v>#REF!</v>
      </c>
      <c r="W239" s="175"/>
      <c r="X239" s="156" t="e">
        <f>IF(R239="-","",INDEX('Inventaire M-1'!$A$2:$AG$9334,MATCH(R239,'Inventaire M-1'!$A:$A,0)-1,MATCH("quantite",'Inventaire M-1'!#REF!,0)))</f>
        <v>#REF!</v>
      </c>
      <c r="Y239" s="156" t="e">
        <f>IF(S239="-","",IF(ISERROR(INDEX('Inventaire M'!$A$2:$AD$9319,MATCH(R239,'Inventaire M'!$A:$A,0)-1,MATCH("quantite",'Inventaire M'!#REF!,0))),"Sell",INDEX('Inventaire M'!$A$2:$AD$9319,MATCH(R239,'Inventaire M'!$A:$A,0)-1,MATCH("quantite",'Inventaire M'!#REF!,0))))</f>
        <v>#REF!</v>
      </c>
      <c r="Z239" s="175"/>
      <c r="AA239" s="155" t="e">
        <f>IF(R239="-","",INDEX('Inventaire M-1'!$A$2:$AG$9334,MATCH(R239,'Inventaire M-1'!$A:$A,0)-1,MATCH("poids",'Inventaire M-1'!#REF!,0)))</f>
        <v>#REF!</v>
      </c>
      <c r="AB239" s="155" t="e">
        <f>IF(R239="-","",IF(ISERROR(INDEX('Inventaire M'!$A$2:$AD$9319,MATCH(R239,'Inventaire M'!$A:$A,0)-1,MATCH("poids",'Inventaire M'!#REF!,0))),"Sell",INDEX('Inventaire M'!$A$2:$AD$9319,MATCH(R239,'Inventaire M'!$A:$A,0)-1,MATCH("poids",'Inventaire M'!#REF!,0))))</f>
        <v>#REF!</v>
      </c>
      <c r="AC239" s="175"/>
      <c r="AD239" s="157" t="str">
        <f t="shared" si="27"/>
        <v>0</v>
      </c>
      <c r="AE239" s="98" t="str">
        <f t="shared" si="28"/>
        <v/>
      </c>
      <c r="AF239" s="80" t="e">
        <f t="shared" si="29"/>
        <v>#REF!</v>
      </c>
    </row>
    <row r="240" spans="2:32" outlineLevel="1">
      <c r="B240" s="175" t="str">
        <f>IF(OR('Inventaire M'!D18="Dispo/Liquidité Investie",'Inventaire M'!D18="Option/Future",'Inventaire M'!D18="TCN",'Inventaire M'!D18=""),"-",'Inventaire M'!A18)</f>
        <v>FR001400TL99</v>
      </c>
      <c r="C240" s="175" t="str">
        <f>IF(OR('Inventaire M'!D18="Dispo/Liquidité Investie",'Inventaire M'!D18="Option/Future",'Inventaire M'!D18="TCN",'Inventaire M'!D18=""),"-",'Inventaire M'!B18)</f>
        <v>ILIAD SA 4.25 15/12/2029</v>
      </c>
      <c r="D240" s="175"/>
      <c r="E240" s="175" t="e">
        <f>IF(B240="-","",INDEX('Inventaire M'!$A$2:$AW$9305,MATCH(B240,'Inventaire M'!$A:$A,0)-1,MATCH("Cours EUR",'Inventaire M'!#REF!,0)))</f>
        <v>#REF!</v>
      </c>
      <c r="F240" s="175" t="str">
        <f>IF(B240="-","",IF(ISERROR(INDEX('Inventaire M-1'!$A$2:$AZ$9320,MATCH(B240,'Inventaire M-1'!$A:$A,0)-1,MATCH("Cours EUR",'Inventaire M-1'!#REF!,0))),"Buy",INDEX('Inventaire M-1'!$A$2:$AZ$9320,MATCH(B240,'Inventaire M-1'!$A:$A,0)-1,MATCH("Cours EUR",'Inventaire M-1'!#REF!,0))))</f>
        <v>Buy</v>
      </c>
      <c r="G240" s="175"/>
      <c r="H240" s="156" t="e">
        <f>IF(B240="-","",INDEX('Inventaire M'!$A$2:$AW$9305,MATCH(B240,'Inventaire M'!$A:$A,0)-1,MATCH("quantite",'Inventaire M'!#REF!,0)))</f>
        <v>#REF!</v>
      </c>
      <c r="I240" s="156" t="str">
        <f>IF(C240="-","",IF(ISERROR(INDEX('Inventaire M-1'!$A$2:$AZ$9320,MATCH(B240,'Inventaire M-1'!$A:$A,0)-1,MATCH("quantite",'Inventaire M-1'!#REF!,0))),"Buy",INDEX('Inventaire M-1'!$A$2:$AZ$9320,MATCH(B240,'Inventaire M-1'!$A:$A,0)-1,MATCH("quantite",'Inventaire M-1'!#REF!,0))))</f>
        <v>Buy</v>
      </c>
      <c r="J240" s="175"/>
      <c r="K240" s="155" t="e">
        <f>IF(B240="-","",INDEX('Inventaire M'!$A$2:$AW$9305,MATCH(B240,'Inventaire M'!$A:$A,0)-1,MATCH("poids",'Inventaire M'!#REF!,0)))</f>
        <v>#REF!</v>
      </c>
      <c r="L240" s="155" t="str">
        <f>IF(B240="-","",IF(ISERROR(INDEX('Inventaire M-1'!$A$2:$AZ$9320,MATCH(B240,'Inventaire M-1'!$A:$A,0)-1,MATCH("poids",'Inventaire M-1'!#REF!,0))),"Buy",INDEX('Inventaire M-1'!$A$2:$AZ$9320,MATCH(B240,'Inventaire M-1'!$A:$A,0)-1,MATCH("poids",'Inventaire M-1'!#REF!,0))))</f>
        <v>Buy</v>
      </c>
      <c r="M240" s="175"/>
      <c r="N240" s="157" t="str">
        <f t="shared" si="24"/>
        <v>0</v>
      </c>
      <c r="O240" s="98" t="str">
        <f t="shared" si="25"/>
        <v/>
      </c>
      <c r="P240" s="80" t="str">
        <f t="shared" si="26"/>
        <v>ILIAD SA 4.25 15/12/2029</v>
      </c>
      <c r="Q240" s="75">
        <v>2.1600000000000002E-8</v>
      </c>
      <c r="R240" s="175" t="e">
        <f>IF(OR('Inventaire M-1'!#REF!="Dispo/Liquidité Investie",'Inventaire M-1'!#REF!="Option/Future",'Inventaire M-1'!#REF!="TCN",'Inventaire M-1'!#REF!=""),"-",'Inventaire M-1'!#REF!)</f>
        <v>#REF!</v>
      </c>
      <c r="S240" s="175" t="e">
        <f>IF(OR('Inventaire M-1'!#REF!="Dispo/Liquidité Investie",'Inventaire M-1'!#REF!="Option/Future",'Inventaire M-1'!#REF!="TCN",'Inventaire M-1'!#REF!=""),"-",'Inventaire M-1'!#REF!)</f>
        <v>#REF!</v>
      </c>
      <c r="T240" s="175"/>
      <c r="U240" s="175" t="e">
        <f>IF(R240="-","",INDEX('Inventaire M-1'!$A$2:$AG$9334,MATCH(R240,'Inventaire M-1'!$A:$A,0)-1,MATCH("Cours EUR",'Inventaire M-1'!#REF!,0)))</f>
        <v>#REF!</v>
      </c>
      <c r="V240" s="175" t="e">
        <f>IF(R240="-","",IF(ISERROR(INDEX('Inventaire M'!$A$2:$AD$9319,MATCH(R240,'Inventaire M'!$A:$A,0)-1,MATCH("Cours EUR",'Inventaire M'!#REF!,0))),"Sell",INDEX('Inventaire M'!$A$2:$AD$9319,MATCH(R240,'Inventaire M'!$A:$A,0)-1,MATCH("Cours EUR",'Inventaire M'!#REF!,0))))</f>
        <v>#REF!</v>
      </c>
      <c r="W240" s="175"/>
      <c r="X240" s="156" t="e">
        <f>IF(R240="-","",INDEX('Inventaire M-1'!$A$2:$AG$9334,MATCH(R240,'Inventaire M-1'!$A:$A,0)-1,MATCH("quantite",'Inventaire M-1'!#REF!,0)))</f>
        <v>#REF!</v>
      </c>
      <c r="Y240" s="156" t="e">
        <f>IF(S240="-","",IF(ISERROR(INDEX('Inventaire M'!$A$2:$AD$9319,MATCH(R240,'Inventaire M'!$A:$A,0)-1,MATCH("quantite",'Inventaire M'!#REF!,0))),"Sell",INDEX('Inventaire M'!$A$2:$AD$9319,MATCH(R240,'Inventaire M'!$A:$A,0)-1,MATCH("quantite",'Inventaire M'!#REF!,0))))</f>
        <v>#REF!</v>
      </c>
      <c r="Z240" s="175"/>
      <c r="AA240" s="155" t="e">
        <f>IF(R240="-","",INDEX('Inventaire M-1'!$A$2:$AG$9334,MATCH(R240,'Inventaire M-1'!$A:$A,0)-1,MATCH("poids",'Inventaire M-1'!#REF!,0)))</f>
        <v>#REF!</v>
      </c>
      <c r="AB240" s="155" t="e">
        <f>IF(R240="-","",IF(ISERROR(INDEX('Inventaire M'!$A$2:$AD$9319,MATCH(R240,'Inventaire M'!$A:$A,0)-1,MATCH("poids",'Inventaire M'!#REF!,0))),"Sell",INDEX('Inventaire M'!$A$2:$AD$9319,MATCH(R240,'Inventaire M'!$A:$A,0)-1,MATCH("poids",'Inventaire M'!#REF!,0))))</f>
        <v>#REF!</v>
      </c>
      <c r="AC240" s="175"/>
      <c r="AD240" s="157" t="str">
        <f t="shared" si="27"/>
        <v>0</v>
      </c>
      <c r="AE240" s="98" t="str">
        <f t="shared" si="28"/>
        <v/>
      </c>
      <c r="AF240" s="80" t="e">
        <f t="shared" si="29"/>
        <v>#REF!</v>
      </c>
    </row>
    <row r="241" spans="2:32" outlineLevel="1">
      <c r="B241" s="175" t="str">
        <f>IF(OR('Inventaire M'!D19="Dispo/Liquidité Investie",'Inventaire M'!D19="Option/Future",'Inventaire M'!D19="TCN",'Inventaire M'!D19=""),"-",'Inventaire M'!A19)</f>
        <v>FR001400U3Q9</v>
      </c>
      <c r="C241" s="175" t="str">
        <f>IF(OR('Inventaire M'!D19="Dispo/Liquidité Investie",'Inventaire M'!D19="Option/Future",'Inventaire M'!D19="TCN",'Inventaire M'!D19=""),"-",'Inventaire M'!B19)</f>
        <v>ROQUETTE FRERES SA PERP</v>
      </c>
      <c r="D241" s="175"/>
      <c r="E241" s="175" t="e">
        <f>IF(B241="-","",INDEX('Inventaire M'!$A$2:$AW$9305,MATCH(B241,'Inventaire M'!$A:$A,0)-1,MATCH("Cours EUR",'Inventaire M'!#REF!,0)))</f>
        <v>#REF!</v>
      </c>
      <c r="F241" s="175" t="str">
        <f>IF(B241="-","",IF(ISERROR(INDEX('Inventaire M-1'!$A$2:$AZ$9320,MATCH(B241,'Inventaire M-1'!$A:$A,0)-1,MATCH("Cours EUR",'Inventaire M-1'!#REF!,0))),"Buy",INDEX('Inventaire M-1'!$A$2:$AZ$9320,MATCH(B241,'Inventaire M-1'!$A:$A,0)-1,MATCH("Cours EUR",'Inventaire M-1'!#REF!,0))))</f>
        <v>Buy</v>
      </c>
      <c r="G241" s="175"/>
      <c r="H241" s="156" t="e">
        <f>IF(B241="-","",INDEX('Inventaire M'!$A$2:$AW$9305,MATCH(B241,'Inventaire M'!$A:$A,0)-1,MATCH("quantite",'Inventaire M'!#REF!,0)))</f>
        <v>#REF!</v>
      </c>
      <c r="I241" s="156" t="str">
        <f>IF(C241="-","",IF(ISERROR(INDEX('Inventaire M-1'!$A$2:$AZ$9320,MATCH(B241,'Inventaire M-1'!$A:$A,0)-1,MATCH("quantite",'Inventaire M-1'!#REF!,0))),"Buy",INDEX('Inventaire M-1'!$A$2:$AZ$9320,MATCH(B241,'Inventaire M-1'!$A:$A,0)-1,MATCH("quantite",'Inventaire M-1'!#REF!,0))))</f>
        <v>Buy</v>
      </c>
      <c r="J241" s="175"/>
      <c r="K241" s="155" t="e">
        <f>IF(B241="-","",INDEX('Inventaire M'!$A$2:$AW$9305,MATCH(B241,'Inventaire M'!$A:$A,0)-1,MATCH("poids",'Inventaire M'!#REF!,0)))</f>
        <v>#REF!</v>
      </c>
      <c r="L241" s="155" t="str">
        <f>IF(B241="-","",IF(ISERROR(INDEX('Inventaire M-1'!$A$2:$AZ$9320,MATCH(B241,'Inventaire M-1'!$A:$A,0)-1,MATCH("poids",'Inventaire M-1'!#REF!,0))),"Buy",INDEX('Inventaire M-1'!$A$2:$AZ$9320,MATCH(B241,'Inventaire M-1'!$A:$A,0)-1,MATCH("poids",'Inventaire M-1'!#REF!,0))))</f>
        <v>Buy</v>
      </c>
      <c r="M241" s="175"/>
      <c r="N241" s="157" t="str">
        <f t="shared" si="24"/>
        <v>0</v>
      </c>
      <c r="O241" s="98" t="str">
        <f t="shared" si="25"/>
        <v/>
      </c>
      <c r="P241" s="80" t="str">
        <f t="shared" si="26"/>
        <v>ROQUETTE FRERES SA PERP</v>
      </c>
      <c r="Q241" s="75">
        <v>2.1699999999999999E-8</v>
      </c>
      <c r="R241" s="175" t="e">
        <f>IF(OR('Inventaire M-1'!#REF!="Dispo/Liquidité Investie",'Inventaire M-1'!#REF!="Option/Future",'Inventaire M-1'!#REF!="TCN",'Inventaire M-1'!#REF!=""),"-",'Inventaire M-1'!#REF!)</f>
        <v>#REF!</v>
      </c>
      <c r="S241" s="175" t="e">
        <f>IF(OR('Inventaire M-1'!#REF!="Dispo/Liquidité Investie",'Inventaire M-1'!#REF!="Option/Future",'Inventaire M-1'!#REF!="TCN",'Inventaire M-1'!#REF!=""),"-",'Inventaire M-1'!#REF!)</f>
        <v>#REF!</v>
      </c>
      <c r="T241" s="175"/>
      <c r="U241" s="175" t="e">
        <f>IF(R241="-","",INDEX('Inventaire M-1'!$A$2:$AG$9334,MATCH(R241,'Inventaire M-1'!$A:$A,0)-1,MATCH("Cours EUR",'Inventaire M-1'!#REF!,0)))</f>
        <v>#REF!</v>
      </c>
      <c r="V241" s="175" t="e">
        <f>IF(R241="-","",IF(ISERROR(INDEX('Inventaire M'!$A$2:$AD$9319,MATCH(R241,'Inventaire M'!$A:$A,0)-1,MATCH("Cours EUR",'Inventaire M'!#REF!,0))),"Sell",INDEX('Inventaire M'!$A$2:$AD$9319,MATCH(R241,'Inventaire M'!$A:$A,0)-1,MATCH("Cours EUR",'Inventaire M'!#REF!,0))))</f>
        <v>#REF!</v>
      </c>
      <c r="W241" s="175"/>
      <c r="X241" s="156" t="e">
        <f>IF(R241="-","",INDEX('Inventaire M-1'!$A$2:$AG$9334,MATCH(R241,'Inventaire M-1'!$A:$A,0)-1,MATCH("quantite",'Inventaire M-1'!#REF!,0)))</f>
        <v>#REF!</v>
      </c>
      <c r="Y241" s="156" t="e">
        <f>IF(S241="-","",IF(ISERROR(INDEX('Inventaire M'!$A$2:$AD$9319,MATCH(R241,'Inventaire M'!$A:$A,0)-1,MATCH("quantite",'Inventaire M'!#REF!,0))),"Sell",INDEX('Inventaire M'!$A$2:$AD$9319,MATCH(R241,'Inventaire M'!$A:$A,0)-1,MATCH("quantite",'Inventaire M'!#REF!,0))))</f>
        <v>#REF!</v>
      </c>
      <c r="Z241" s="175"/>
      <c r="AA241" s="155" t="e">
        <f>IF(R241="-","",INDEX('Inventaire M-1'!$A$2:$AG$9334,MATCH(R241,'Inventaire M-1'!$A:$A,0)-1,MATCH("poids",'Inventaire M-1'!#REF!,0)))</f>
        <v>#REF!</v>
      </c>
      <c r="AB241" s="155" t="e">
        <f>IF(R241="-","",IF(ISERROR(INDEX('Inventaire M'!$A$2:$AD$9319,MATCH(R241,'Inventaire M'!$A:$A,0)-1,MATCH("poids",'Inventaire M'!#REF!,0))),"Sell",INDEX('Inventaire M'!$A$2:$AD$9319,MATCH(R241,'Inventaire M'!$A:$A,0)-1,MATCH("poids",'Inventaire M'!#REF!,0))))</f>
        <v>#REF!</v>
      </c>
      <c r="AC241" s="175"/>
      <c r="AD241" s="157" t="str">
        <f t="shared" si="27"/>
        <v>0</v>
      </c>
      <c r="AE241" s="98" t="str">
        <f t="shared" si="28"/>
        <v/>
      </c>
      <c r="AF241" s="80" t="e">
        <f t="shared" si="29"/>
        <v>#REF!</v>
      </c>
    </row>
    <row r="242" spans="2:32" outlineLevel="1">
      <c r="B242" s="175" t="str">
        <f>IF(OR('Inventaire M'!D20="Dispo/Liquidité Investie",'Inventaire M'!D20="Option/Future",'Inventaire M'!D20="TCN",'Inventaire M'!D20=""),"-",'Inventaire M'!A20)</f>
        <v>FR001400WJR8</v>
      </c>
      <c r="C242" s="175" t="str">
        <f>IF(OR('Inventaire M'!D20="Dispo/Liquidité Investie",'Inventaire M'!D20="Option/Future",'Inventaire M'!D20="TCN",'Inventaire M'!D20=""),"-",'Inventaire M'!B20)</f>
        <v>VALEO SE 5.125 20/05/2031</v>
      </c>
      <c r="D242" s="175"/>
      <c r="E242" s="175" t="e">
        <f>IF(B242="-","",INDEX('Inventaire M'!$A$2:$AW$9305,MATCH(B242,'Inventaire M'!$A:$A,0)-1,MATCH("Cours EUR",'Inventaire M'!#REF!,0)))</f>
        <v>#REF!</v>
      </c>
      <c r="F242" s="175" t="str">
        <f>IF(B242="-","",IF(ISERROR(INDEX('Inventaire M-1'!$A$2:$AZ$9320,MATCH(B242,'Inventaire M-1'!$A:$A,0)-1,MATCH("Cours EUR",'Inventaire M-1'!#REF!,0))),"Buy",INDEX('Inventaire M-1'!$A$2:$AZ$9320,MATCH(B242,'Inventaire M-1'!$A:$A,0)-1,MATCH("Cours EUR",'Inventaire M-1'!#REF!,0))))</f>
        <v>Buy</v>
      </c>
      <c r="G242" s="175"/>
      <c r="H242" s="156" t="e">
        <f>IF(B242="-","",INDEX('Inventaire M'!$A$2:$AW$9305,MATCH(B242,'Inventaire M'!$A:$A,0)-1,MATCH("quantite",'Inventaire M'!#REF!,0)))</f>
        <v>#REF!</v>
      </c>
      <c r="I242" s="156" t="str">
        <f>IF(C242="-","",IF(ISERROR(INDEX('Inventaire M-1'!$A$2:$AZ$9320,MATCH(B242,'Inventaire M-1'!$A:$A,0)-1,MATCH("quantite",'Inventaire M-1'!#REF!,0))),"Buy",INDEX('Inventaire M-1'!$A$2:$AZ$9320,MATCH(B242,'Inventaire M-1'!$A:$A,0)-1,MATCH("quantite",'Inventaire M-1'!#REF!,0))))</f>
        <v>Buy</v>
      </c>
      <c r="J242" s="175"/>
      <c r="K242" s="155" t="e">
        <f>IF(B242="-","",INDEX('Inventaire M'!$A$2:$AW$9305,MATCH(B242,'Inventaire M'!$A:$A,0)-1,MATCH("poids",'Inventaire M'!#REF!,0)))</f>
        <v>#REF!</v>
      </c>
      <c r="L242" s="155" t="str">
        <f>IF(B242="-","",IF(ISERROR(INDEX('Inventaire M-1'!$A$2:$AZ$9320,MATCH(B242,'Inventaire M-1'!$A:$A,0)-1,MATCH("poids",'Inventaire M-1'!#REF!,0))),"Buy",INDEX('Inventaire M-1'!$A$2:$AZ$9320,MATCH(B242,'Inventaire M-1'!$A:$A,0)-1,MATCH("poids",'Inventaire M-1'!#REF!,0))))</f>
        <v>Buy</v>
      </c>
      <c r="M242" s="175"/>
      <c r="N242" s="157" t="str">
        <f t="shared" si="24"/>
        <v>0</v>
      </c>
      <c r="O242" s="98" t="str">
        <f t="shared" si="25"/>
        <v/>
      </c>
      <c r="P242" s="80" t="str">
        <f t="shared" si="26"/>
        <v>VALEO SE 5.125 20/05/2031</v>
      </c>
      <c r="Q242" s="75">
        <v>2.18E-8</v>
      </c>
      <c r="R242" s="175" t="e">
        <f>IF(OR('Inventaire M-1'!#REF!="Dispo/Liquidité Investie",'Inventaire M-1'!#REF!="Option/Future",'Inventaire M-1'!#REF!="TCN",'Inventaire M-1'!#REF!=""),"-",'Inventaire M-1'!#REF!)</f>
        <v>#REF!</v>
      </c>
      <c r="S242" s="175" t="e">
        <f>IF(OR('Inventaire M-1'!#REF!="Dispo/Liquidité Investie",'Inventaire M-1'!#REF!="Option/Future",'Inventaire M-1'!#REF!="TCN",'Inventaire M-1'!#REF!=""),"-",'Inventaire M-1'!#REF!)</f>
        <v>#REF!</v>
      </c>
      <c r="T242" s="175"/>
      <c r="U242" s="175" t="e">
        <f>IF(R242="-","",INDEX('Inventaire M-1'!$A$2:$AG$9334,MATCH(R242,'Inventaire M-1'!$A:$A,0)-1,MATCH("Cours EUR",'Inventaire M-1'!#REF!,0)))</f>
        <v>#REF!</v>
      </c>
      <c r="V242" s="175" t="e">
        <f>IF(R242="-","",IF(ISERROR(INDEX('Inventaire M'!$A$2:$AD$9319,MATCH(R242,'Inventaire M'!$A:$A,0)-1,MATCH("Cours EUR",'Inventaire M'!#REF!,0))),"Sell",INDEX('Inventaire M'!$A$2:$AD$9319,MATCH(R242,'Inventaire M'!$A:$A,0)-1,MATCH("Cours EUR",'Inventaire M'!#REF!,0))))</f>
        <v>#REF!</v>
      </c>
      <c r="W242" s="175"/>
      <c r="X242" s="156" t="e">
        <f>IF(R242="-","",INDEX('Inventaire M-1'!$A$2:$AG$9334,MATCH(R242,'Inventaire M-1'!$A:$A,0)-1,MATCH("quantite",'Inventaire M-1'!#REF!,0)))</f>
        <v>#REF!</v>
      </c>
      <c r="Y242" s="156" t="e">
        <f>IF(S242="-","",IF(ISERROR(INDEX('Inventaire M'!$A$2:$AD$9319,MATCH(R242,'Inventaire M'!$A:$A,0)-1,MATCH("quantite",'Inventaire M'!#REF!,0))),"Sell",INDEX('Inventaire M'!$A$2:$AD$9319,MATCH(R242,'Inventaire M'!$A:$A,0)-1,MATCH("quantite",'Inventaire M'!#REF!,0))))</f>
        <v>#REF!</v>
      </c>
      <c r="Z242" s="175"/>
      <c r="AA242" s="155" t="e">
        <f>IF(R242="-","",INDEX('Inventaire M-1'!$A$2:$AG$9334,MATCH(R242,'Inventaire M-1'!$A:$A,0)-1,MATCH("poids",'Inventaire M-1'!#REF!,0)))</f>
        <v>#REF!</v>
      </c>
      <c r="AB242" s="155" t="e">
        <f>IF(R242="-","",IF(ISERROR(INDEX('Inventaire M'!$A$2:$AD$9319,MATCH(R242,'Inventaire M'!$A:$A,0)-1,MATCH("poids",'Inventaire M'!#REF!,0))),"Sell",INDEX('Inventaire M'!$A$2:$AD$9319,MATCH(R242,'Inventaire M'!$A:$A,0)-1,MATCH("poids",'Inventaire M'!#REF!,0))))</f>
        <v>#REF!</v>
      </c>
      <c r="AC242" s="175"/>
      <c r="AD242" s="157" t="str">
        <f t="shared" si="27"/>
        <v>0</v>
      </c>
      <c r="AE242" s="98" t="str">
        <f t="shared" si="28"/>
        <v/>
      </c>
      <c r="AF242" s="80" t="e">
        <f t="shared" si="29"/>
        <v>#REF!</v>
      </c>
    </row>
    <row r="243" spans="2:32" outlineLevel="1">
      <c r="B243" s="175" t="str">
        <f>IF(OR('Inventaire M'!D21="Dispo/Liquidité Investie",'Inventaire M'!D21="Option/Future",'Inventaire M'!D21="TCN",'Inventaire M'!D21=""),"-",'Inventaire M'!A21)</f>
        <v>FR001400Y8Z5</v>
      </c>
      <c r="C243" s="175" t="str">
        <f>IF(OR('Inventaire M'!D21="Dispo/Liquidité Investie",'Inventaire M'!D21="Option/Future",'Inventaire M'!D21="TCN",'Inventaire M'!D21=""),"-",'Inventaire M'!B21)</f>
        <v>UNIBAIL-RODAMCO-WESTFIELD SE PERP</v>
      </c>
      <c r="D243" s="175"/>
      <c r="E243" s="175" t="e">
        <f>IF(B243="-","",INDEX('Inventaire M'!$A$2:$AW$9305,MATCH(B243,'Inventaire M'!$A:$A,0)-1,MATCH("Cours EUR",'Inventaire M'!#REF!,0)))</f>
        <v>#REF!</v>
      </c>
      <c r="F243" s="175" t="str">
        <f>IF(B243="-","",IF(ISERROR(INDEX('Inventaire M-1'!$A$2:$AZ$9320,MATCH(B243,'Inventaire M-1'!$A:$A,0)-1,MATCH("Cours EUR",'Inventaire M-1'!#REF!,0))),"Buy",INDEX('Inventaire M-1'!$A$2:$AZ$9320,MATCH(B243,'Inventaire M-1'!$A:$A,0)-1,MATCH("Cours EUR",'Inventaire M-1'!#REF!,0))))</f>
        <v>Buy</v>
      </c>
      <c r="G243" s="175"/>
      <c r="H243" s="156" t="e">
        <f>IF(B243="-","",INDEX('Inventaire M'!$A$2:$AW$9305,MATCH(B243,'Inventaire M'!$A:$A,0)-1,MATCH("quantite",'Inventaire M'!#REF!,0)))</f>
        <v>#REF!</v>
      </c>
      <c r="I243" s="156" t="str">
        <f>IF(C243="-","",IF(ISERROR(INDEX('Inventaire M-1'!$A$2:$AZ$9320,MATCH(B243,'Inventaire M-1'!$A:$A,0)-1,MATCH("quantite",'Inventaire M-1'!#REF!,0))),"Buy",INDEX('Inventaire M-1'!$A$2:$AZ$9320,MATCH(B243,'Inventaire M-1'!$A:$A,0)-1,MATCH("quantite",'Inventaire M-1'!#REF!,0))))</f>
        <v>Buy</v>
      </c>
      <c r="J243" s="175"/>
      <c r="K243" s="155" t="e">
        <f>IF(B243="-","",INDEX('Inventaire M'!$A$2:$AW$9305,MATCH(B243,'Inventaire M'!$A:$A,0)-1,MATCH("poids",'Inventaire M'!#REF!,0)))</f>
        <v>#REF!</v>
      </c>
      <c r="L243" s="155" t="str">
        <f>IF(B243="-","",IF(ISERROR(INDEX('Inventaire M-1'!$A$2:$AZ$9320,MATCH(B243,'Inventaire M-1'!$A:$A,0)-1,MATCH("poids",'Inventaire M-1'!#REF!,0))),"Buy",INDEX('Inventaire M-1'!$A$2:$AZ$9320,MATCH(B243,'Inventaire M-1'!$A:$A,0)-1,MATCH("poids",'Inventaire M-1'!#REF!,0))))</f>
        <v>Buy</v>
      </c>
      <c r="M243" s="175"/>
      <c r="N243" s="157" t="str">
        <f t="shared" si="24"/>
        <v>0</v>
      </c>
      <c r="O243" s="98" t="str">
        <f t="shared" si="25"/>
        <v/>
      </c>
      <c r="P243" s="80" t="str">
        <f t="shared" si="26"/>
        <v>UNIBAIL-RODAMCO-WESTFIELD SE PERP</v>
      </c>
      <c r="Q243" s="75">
        <v>2.1900000000000001E-8</v>
      </c>
      <c r="R243" s="175" t="e">
        <f>IF(OR('Inventaire M-1'!#REF!="Dispo/Liquidité Investie",'Inventaire M-1'!#REF!="Option/Future",'Inventaire M-1'!#REF!="TCN",'Inventaire M-1'!#REF!=""),"-",'Inventaire M-1'!#REF!)</f>
        <v>#REF!</v>
      </c>
      <c r="S243" s="175" t="e">
        <f>IF(OR('Inventaire M-1'!#REF!="Dispo/Liquidité Investie",'Inventaire M-1'!#REF!="Option/Future",'Inventaire M-1'!#REF!="TCN",'Inventaire M-1'!#REF!=""),"-",'Inventaire M-1'!#REF!)</f>
        <v>#REF!</v>
      </c>
      <c r="T243" s="175"/>
      <c r="U243" s="175" t="e">
        <f>IF(R243="-","",INDEX('Inventaire M-1'!$A$2:$AG$9334,MATCH(R243,'Inventaire M-1'!$A:$A,0)-1,MATCH("Cours EUR",'Inventaire M-1'!#REF!,0)))</f>
        <v>#REF!</v>
      </c>
      <c r="V243" s="175" t="e">
        <f>IF(R243="-","",IF(ISERROR(INDEX('Inventaire M'!$A$2:$AD$9319,MATCH(R243,'Inventaire M'!$A:$A,0)-1,MATCH("Cours EUR",'Inventaire M'!#REF!,0))),"Sell",INDEX('Inventaire M'!$A$2:$AD$9319,MATCH(R243,'Inventaire M'!$A:$A,0)-1,MATCH("Cours EUR",'Inventaire M'!#REF!,0))))</f>
        <v>#REF!</v>
      </c>
      <c r="W243" s="175"/>
      <c r="X243" s="156" t="e">
        <f>IF(R243="-","",INDEX('Inventaire M-1'!$A$2:$AG$9334,MATCH(R243,'Inventaire M-1'!$A:$A,0)-1,MATCH("quantite",'Inventaire M-1'!#REF!,0)))</f>
        <v>#REF!</v>
      </c>
      <c r="Y243" s="156" t="e">
        <f>IF(S243="-","",IF(ISERROR(INDEX('Inventaire M'!$A$2:$AD$9319,MATCH(R243,'Inventaire M'!$A:$A,0)-1,MATCH("quantite",'Inventaire M'!#REF!,0))),"Sell",INDEX('Inventaire M'!$A$2:$AD$9319,MATCH(R243,'Inventaire M'!$A:$A,0)-1,MATCH("quantite",'Inventaire M'!#REF!,0))))</f>
        <v>#REF!</v>
      </c>
      <c r="Z243" s="175"/>
      <c r="AA243" s="155" t="e">
        <f>IF(R243="-","",INDEX('Inventaire M-1'!$A$2:$AG$9334,MATCH(R243,'Inventaire M-1'!$A:$A,0)-1,MATCH("poids",'Inventaire M-1'!#REF!,0)))</f>
        <v>#REF!</v>
      </c>
      <c r="AB243" s="155" t="e">
        <f>IF(R243="-","",IF(ISERROR(INDEX('Inventaire M'!$A$2:$AD$9319,MATCH(R243,'Inventaire M'!$A:$A,0)-1,MATCH("poids",'Inventaire M'!#REF!,0))),"Sell",INDEX('Inventaire M'!$A$2:$AD$9319,MATCH(R243,'Inventaire M'!$A:$A,0)-1,MATCH("poids",'Inventaire M'!#REF!,0))))</f>
        <v>#REF!</v>
      </c>
      <c r="AC243" s="175"/>
      <c r="AD243" s="157" t="str">
        <f t="shared" si="27"/>
        <v>0</v>
      </c>
      <c r="AE243" s="98" t="str">
        <f t="shared" si="28"/>
        <v/>
      </c>
      <c r="AF243" s="80" t="e">
        <f t="shared" si="29"/>
        <v>#REF!</v>
      </c>
    </row>
    <row r="244" spans="2:32" outlineLevel="1">
      <c r="B244" s="175" t="str">
        <f>IF(OR('Inventaire M'!D22="Dispo/Liquidité Investie",'Inventaire M'!D22="Option/Future",'Inventaire M'!D22="TCN",'Inventaire M'!D22=""),"-",'Inventaire M'!A22)</f>
        <v>FR001400ZYD0</v>
      </c>
      <c r="C244" s="175" t="str">
        <f>IF(OR('Inventaire M'!D22="Dispo/Liquidité Investie",'Inventaire M'!D22="Option/Future",'Inventaire M'!D22="TCN",'Inventaire M'!D22=""),"-",'Inventaire M'!B22)</f>
        <v>SPIE SA 3.75 28/05/2030</v>
      </c>
      <c r="D244" s="175"/>
      <c r="E244" s="175" t="e">
        <f>IF(B244="-","",INDEX('Inventaire M'!$A$2:$AW$9305,MATCH(B244,'Inventaire M'!$A:$A,0)-1,MATCH("Cours EUR",'Inventaire M'!#REF!,0)))</f>
        <v>#REF!</v>
      </c>
      <c r="F244" s="175" t="str">
        <f>IF(B244="-","",IF(ISERROR(INDEX('Inventaire M-1'!$A$2:$AZ$9320,MATCH(B244,'Inventaire M-1'!$A:$A,0)-1,MATCH("Cours EUR",'Inventaire M-1'!#REF!,0))),"Buy",INDEX('Inventaire M-1'!$A$2:$AZ$9320,MATCH(B244,'Inventaire M-1'!$A:$A,0)-1,MATCH("Cours EUR",'Inventaire M-1'!#REF!,0))))</f>
        <v>Buy</v>
      </c>
      <c r="G244" s="175"/>
      <c r="H244" s="156" t="e">
        <f>IF(B244="-","",INDEX('Inventaire M'!$A$2:$AW$9305,MATCH(B244,'Inventaire M'!$A:$A,0)-1,MATCH("quantite",'Inventaire M'!#REF!,0)))</f>
        <v>#REF!</v>
      </c>
      <c r="I244" s="156" t="str">
        <f>IF(C244="-","",IF(ISERROR(INDEX('Inventaire M-1'!$A$2:$AZ$9320,MATCH(B244,'Inventaire M-1'!$A:$A,0)-1,MATCH("quantite",'Inventaire M-1'!#REF!,0))),"Buy",INDEX('Inventaire M-1'!$A$2:$AZ$9320,MATCH(B244,'Inventaire M-1'!$A:$A,0)-1,MATCH("quantite",'Inventaire M-1'!#REF!,0))))</f>
        <v>Buy</v>
      </c>
      <c r="J244" s="175"/>
      <c r="K244" s="155" t="e">
        <f>IF(B244="-","",INDEX('Inventaire M'!$A$2:$AW$9305,MATCH(B244,'Inventaire M'!$A:$A,0)-1,MATCH("poids",'Inventaire M'!#REF!,0)))</f>
        <v>#REF!</v>
      </c>
      <c r="L244" s="155" t="str">
        <f>IF(B244="-","",IF(ISERROR(INDEX('Inventaire M-1'!$A$2:$AZ$9320,MATCH(B244,'Inventaire M-1'!$A:$A,0)-1,MATCH("poids",'Inventaire M-1'!#REF!,0))),"Buy",INDEX('Inventaire M-1'!$A$2:$AZ$9320,MATCH(B244,'Inventaire M-1'!$A:$A,0)-1,MATCH("poids",'Inventaire M-1'!#REF!,0))))</f>
        <v>Buy</v>
      </c>
      <c r="M244" s="175"/>
      <c r="N244" s="157" t="str">
        <f t="shared" si="24"/>
        <v>0</v>
      </c>
      <c r="O244" s="98" t="str">
        <f t="shared" si="25"/>
        <v/>
      </c>
      <c r="P244" s="80" t="str">
        <f t="shared" si="26"/>
        <v>SPIE SA 3.75 28/05/2030</v>
      </c>
      <c r="Q244" s="75">
        <v>2.1999999999999998E-8</v>
      </c>
      <c r="R244" s="175" t="e">
        <f>IF(OR('Inventaire M-1'!#REF!="Dispo/Liquidité Investie",'Inventaire M-1'!#REF!="Option/Future",'Inventaire M-1'!#REF!="TCN",'Inventaire M-1'!#REF!=""),"-",'Inventaire M-1'!#REF!)</f>
        <v>#REF!</v>
      </c>
      <c r="S244" s="175" t="e">
        <f>IF(OR('Inventaire M-1'!#REF!="Dispo/Liquidité Investie",'Inventaire M-1'!#REF!="Option/Future",'Inventaire M-1'!#REF!="TCN",'Inventaire M-1'!#REF!=""),"-",'Inventaire M-1'!#REF!)</f>
        <v>#REF!</v>
      </c>
      <c r="T244" s="175"/>
      <c r="U244" s="175" t="e">
        <f>IF(R244="-","",INDEX('Inventaire M-1'!$A$2:$AG$9334,MATCH(R244,'Inventaire M-1'!$A:$A,0)-1,MATCH("Cours EUR",'Inventaire M-1'!#REF!,0)))</f>
        <v>#REF!</v>
      </c>
      <c r="V244" s="175" t="e">
        <f>IF(R244="-","",IF(ISERROR(INDEX('Inventaire M'!$A$2:$AD$9319,MATCH(R244,'Inventaire M'!$A:$A,0)-1,MATCH("Cours EUR",'Inventaire M'!#REF!,0))),"Sell",INDEX('Inventaire M'!$A$2:$AD$9319,MATCH(R244,'Inventaire M'!$A:$A,0)-1,MATCH("Cours EUR",'Inventaire M'!#REF!,0))))</f>
        <v>#REF!</v>
      </c>
      <c r="W244" s="175"/>
      <c r="X244" s="156" t="e">
        <f>IF(R244="-","",INDEX('Inventaire M-1'!$A$2:$AG$9334,MATCH(R244,'Inventaire M-1'!$A:$A,0)-1,MATCH("quantite",'Inventaire M-1'!#REF!,0)))</f>
        <v>#REF!</v>
      </c>
      <c r="Y244" s="156" t="e">
        <f>IF(S244="-","",IF(ISERROR(INDEX('Inventaire M'!$A$2:$AD$9319,MATCH(R244,'Inventaire M'!$A:$A,0)-1,MATCH("quantite",'Inventaire M'!#REF!,0))),"Sell",INDEX('Inventaire M'!$A$2:$AD$9319,MATCH(R244,'Inventaire M'!$A:$A,0)-1,MATCH("quantite",'Inventaire M'!#REF!,0))))</f>
        <v>#REF!</v>
      </c>
      <c r="Z244" s="175"/>
      <c r="AA244" s="155" t="e">
        <f>IF(R244="-","",INDEX('Inventaire M-1'!$A$2:$AG$9334,MATCH(R244,'Inventaire M-1'!$A:$A,0)-1,MATCH("poids",'Inventaire M-1'!#REF!,0)))</f>
        <v>#REF!</v>
      </c>
      <c r="AB244" s="155" t="e">
        <f>IF(R244="-","",IF(ISERROR(INDEX('Inventaire M'!$A$2:$AD$9319,MATCH(R244,'Inventaire M'!$A:$A,0)-1,MATCH("poids",'Inventaire M'!#REF!,0))),"Sell",INDEX('Inventaire M'!$A$2:$AD$9319,MATCH(R244,'Inventaire M'!$A:$A,0)-1,MATCH("poids",'Inventaire M'!#REF!,0))))</f>
        <v>#REF!</v>
      </c>
      <c r="AC244" s="175"/>
      <c r="AD244" s="157" t="str">
        <f t="shared" si="27"/>
        <v>0</v>
      </c>
      <c r="AE244" s="98" t="str">
        <f t="shared" si="28"/>
        <v/>
      </c>
      <c r="AF244" s="80" t="e">
        <f t="shared" si="29"/>
        <v>#REF!</v>
      </c>
    </row>
    <row r="245" spans="2:32" outlineLevel="1">
      <c r="B245" s="175" t="str">
        <f>IF(OR('Inventaire M'!D23="Dispo/Liquidité Investie",'Inventaire M'!D23="Option/Future",'Inventaire M'!D23="TCN",'Inventaire M'!D23=""),"-",'Inventaire M'!A23)</f>
        <v>FR0014012HT4</v>
      </c>
      <c r="C245" s="175" t="str">
        <f>IF(OR('Inventaire M'!D23="Dispo/Liquidité Investie",'Inventaire M'!D23="Option/Future",'Inventaire M'!D23="TCN",'Inventaire M'!D23=""),"-",'Inventaire M'!B23)</f>
        <v>AIR FRANCE-KLM 3.75 04/09/2030</v>
      </c>
      <c r="D245" s="175"/>
      <c r="E245" s="175" t="e">
        <f>IF(B245="-","",INDEX('Inventaire M'!$A$2:$AW$9305,MATCH(B245,'Inventaire M'!$A:$A,0)-1,MATCH("Cours EUR",'Inventaire M'!#REF!,0)))</f>
        <v>#REF!</v>
      </c>
      <c r="F245" s="175" t="str">
        <f>IF(B245="-","",IF(ISERROR(INDEX('Inventaire M-1'!$A$2:$AZ$9320,MATCH(B245,'Inventaire M-1'!$A:$A,0)-1,MATCH("Cours EUR",'Inventaire M-1'!#REF!,0))),"Buy",INDEX('Inventaire M-1'!$A$2:$AZ$9320,MATCH(B245,'Inventaire M-1'!$A:$A,0)-1,MATCH("Cours EUR",'Inventaire M-1'!#REF!,0))))</f>
        <v>Buy</v>
      </c>
      <c r="G245" s="175"/>
      <c r="H245" s="156" t="e">
        <f>IF(B245="-","",INDEX('Inventaire M'!$A$2:$AW$9305,MATCH(B245,'Inventaire M'!$A:$A,0)-1,MATCH("quantite",'Inventaire M'!#REF!,0)))</f>
        <v>#REF!</v>
      </c>
      <c r="I245" s="156" t="str">
        <f>IF(C245="-","",IF(ISERROR(INDEX('Inventaire M-1'!$A$2:$AZ$9320,MATCH(B245,'Inventaire M-1'!$A:$A,0)-1,MATCH("quantite",'Inventaire M-1'!#REF!,0))),"Buy",INDEX('Inventaire M-1'!$A$2:$AZ$9320,MATCH(B245,'Inventaire M-1'!$A:$A,0)-1,MATCH("quantite",'Inventaire M-1'!#REF!,0))))</f>
        <v>Buy</v>
      </c>
      <c r="J245" s="175"/>
      <c r="K245" s="155" t="e">
        <f>IF(B245="-","",INDEX('Inventaire M'!$A$2:$AW$9305,MATCH(B245,'Inventaire M'!$A:$A,0)-1,MATCH("poids",'Inventaire M'!#REF!,0)))</f>
        <v>#REF!</v>
      </c>
      <c r="L245" s="155" t="str">
        <f>IF(B245="-","",IF(ISERROR(INDEX('Inventaire M-1'!$A$2:$AZ$9320,MATCH(B245,'Inventaire M-1'!$A:$A,0)-1,MATCH("poids",'Inventaire M-1'!#REF!,0))),"Buy",INDEX('Inventaire M-1'!$A$2:$AZ$9320,MATCH(B245,'Inventaire M-1'!$A:$A,0)-1,MATCH("poids",'Inventaire M-1'!#REF!,0))))</f>
        <v>Buy</v>
      </c>
      <c r="M245" s="175"/>
      <c r="N245" s="157" t="str">
        <f t="shared" si="24"/>
        <v>0</v>
      </c>
      <c r="O245" s="98" t="str">
        <f t="shared" si="25"/>
        <v/>
      </c>
      <c r="P245" s="80" t="str">
        <f t="shared" si="26"/>
        <v>AIR FRANCE-KLM 3.75 04/09/2030</v>
      </c>
      <c r="Q245" s="75">
        <v>2.2099999999999999E-8</v>
      </c>
      <c r="R245" s="175" t="e">
        <f>IF(OR('Inventaire M-1'!#REF!="Dispo/Liquidité Investie",'Inventaire M-1'!#REF!="Option/Future",'Inventaire M-1'!#REF!="TCN",'Inventaire M-1'!#REF!=""),"-",'Inventaire M-1'!#REF!)</f>
        <v>#REF!</v>
      </c>
      <c r="S245" s="175" t="e">
        <f>IF(OR('Inventaire M-1'!#REF!="Dispo/Liquidité Investie",'Inventaire M-1'!#REF!="Option/Future",'Inventaire M-1'!#REF!="TCN",'Inventaire M-1'!#REF!=""),"-",'Inventaire M-1'!#REF!)</f>
        <v>#REF!</v>
      </c>
      <c r="T245" s="175"/>
      <c r="U245" s="175" t="e">
        <f>IF(R245="-","",INDEX('Inventaire M-1'!$A$2:$AG$9334,MATCH(R245,'Inventaire M-1'!$A:$A,0)-1,MATCH("Cours EUR",'Inventaire M-1'!#REF!,0)))</f>
        <v>#REF!</v>
      </c>
      <c r="V245" s="175" t="e">
        <f>IF(R245="-","",IF(ISERROR(INDEX('Inventaire M'!$A$2:$AD$9319,MATCH(R245,'Inventaire M'!$A:$A,0)-1,MATCH("Cours EUR",'Inventaire M'!#REF!,0))),"Sell",INDEX('Inventaire M'!$A$2:$AD$9319,MATCH(R245,'Inventaire M'!$A:$A,0)-1,MATCH("Cours EUR",'Inventaire M'!#REF!,0))))</f>
        <v>#REF!</v>
      </c>
      <c r="W245" s="175"/>
      <c r="X245" s="156" t="e">
        <f>IF(R245="-","",INDEX('Inventaire M-1'!$A$2:$AG$9334,MATCH(R245,'Inventaire M-1'!$A:$A,0)-1,MATCH("quantite",'Inventaire M-1'!#REF!,0)))</f>
        <v>#REF!</v>
      </c>
      <c r="Y245" s="156" t="e">
        <f>IF(S245="-","",IF(ISERROR(INDEX('Inventaire M'!$A$2:$AD$9319,MATCH(R245,'Inventaire M'!$A:$A,0)-1,MATCH("quantite",'Inventaire M'!#REF!,0))),"Sell",INDEX('Inventaire M'!$A$2:$AD$9319,MATCH(R245,'Inventaire M'!$A:$A,0)-1,MATCH("quantite",'Inventaire M'!#REF!,0))))</f>
        <v>#REF!</v>
      </c>
      <c r="Z245" s="175"/>
      <c r="AA245" s="155" t="e">
        <f>IF(R245="-","",INDEX('Inventaire M-1'!$A$2:$AG$9334,MATCH(R245,'Inventaire M-1'!$A:$A,0)-1,MATCH("poids",'Inventaire M-1'!#REF!,0)))</f>
        <v>#REF!</v>
      </c>
      <c r="AB245" s="155" t="e">
        <f>IF(R245="-","",IF(ISERROR(INDEX('Inventaire M'!$A$2:$AD$9319,MATCH(R245,'Inventaire M'!$A:$A,0)-1,MATCH("poids",'Inventaire M'!#REF!,0))),"Sell",INDEX('Inventaire M'!$A$2:$AD$9319,MATCH(R245,'Inventaire M'!$A:$A,0)-1,MATCH("poids",'Inventaire M'!#REF!,0))))</f>
        <v>#REF!</v>
      </c>
      <c r="AC245" s="175"/>
      <c r="AD245" s="157" t="str">
        <f t="shared" si="27"/>
        <v>0</v>
      </c>
      <c r="AE245" s="98" t="str">
        <f t="shared" si="28"/>
        <v/>
      </c>
      <c r="AF245" s="80" t="e">
        <f t="shared" si="29"/>
        <v>#REF!</v>
      </c>
    </row>
    <row r="246" spans="2:32" outlineLevel="1">
      <c r="B246" s="175" t="str">
        <f>IF(OR('Inventaire M'!D24="Dispo/Liquidité Investie",'Inventaire M'!D24="Option/Future",'Inventaire M'!D24="TCN",'Inventaire M'!D24=""),"-",'Inventaire M'!A24)</f>
        <v>PTEDPSOM0002</v>
      </c>
      <c r="C246" s="175" t="str">
        <f>IF(OR('Inventaire M'!D24="Dispo/Liquidité Investie",'Inventaire M'!D24="Option/Future",'Inventaire M'!D24="TCN",'Inventaire M'!D24=""),"-",'Inventaire M'!B24)</f>
        <v>EDP SA 16/09/2054</v>
      </c>
      <c r="D246" s="175"/>
      <c r="E246" s="175" t="e">
        <f>IF(B246="-","",INDEX('Inventaire M'!$A$2:$AW$9305,MATCH(B246,'Inventaire M'!$A:$A,0)-1,MATCH("Cours EUR",'Inventaire M'!#REF!,0)))</f>
        <v>#REF!</v>
      </c>
      <c r="F246" s="175" t="str">
        <f>IF(B246="-","",IF(ISERROR(INDEX('Inventaire M-1'!$A$2:$AZ$9320,MATCH(B246,'Inventaire M-1'!$A:$A,0)-1,MATCH("Cours EUR",'Inventaire M-1'!#REF!,0))),"Buy",INDEX('Inventaire M-1'!$A$2:$AZ$9320,MATCH(B246,'Inventaire M-1'!$A:$A,0)-1,MATCH("Cours EUR",'Inventaire M-1'!#REF!,0))))</f>
        <v>Buy</v>
      </c>
      <c r="G246" s="175"/>
      <c r="H246" s="156" t="e">
        <f>IF(B246="-","",INDEX('Inventaire M'!$A$2:$AW$9305,MATCH(B246,'Inventaire M'!$A:$A,0)-1,MATCH("quantite",'Inventaire M'!#REF!,0)))</f>
        <v>#REF!</v>
      </c>
      <c r="I246" s="156" t="str">
        <f>IF(C246="-","",IF(ISERROR(INDEX('Inventaire M-1'!$A$2:$AZ$9320,MATCH(B246,'Inventaire M-1'!$A:$A,0)-1,MATCH("quantite",'Inventaire M-1'!#REF!,0))),"Buy",INDEX('Inventaire M-1'!$A$2:$AZ$9320,MATCH(B246,'Inventaire M-1'!$A:$A,0)-1,MATCH("quantite",'Inventaire M-1'!#REF!,0))))</f>
        <v>Buy</v>
      </c>
      <c r="J246" s="175"/>
      <c r="K246" s="155" t="e">
        <f>IF(B246="-","",INDEX('Inventaire M'!$A$2:$AW$9305,MATCH(B246,'Inventaire M'!$A:$A,0)-1,MATCH("poids",'Inventaire M'!#REF!,0)))</f>
        <v>#REF!</v>
      </c>
      <c r="L246" s="155" t="str">
        <f>IF(B246="-","",IF(ISERROR(INDEX('Inventaire M-1'!$A$2:$AZ$9320,MATCH(B246,'Inventaire M-1'!$A:$A,0)-1,MATCH("poids",'Inventaire M-1'!#REF!,0))),"Buy",INDEX('Inventaire M-1'!$A$2:$AZ$9320,MATCH(B246,'Inventaire M-1'!$A:$A,0)-1,MATCH("poids",'Inventaire M-1'!#REF!,0))))</f>
        <v>Buy</v>
      </c>
      <c r="M246" s="175"/>
      <c r="N246" s="157" t="str">
        <f t="shared" si="24"/>
        <v>0</v>
      </c>
      <c r="O246" s="98" t="str">
        <f t="shared" si="25"/>
        <v/>
      </c>
      <c r="P246" s="80" t="str">
        <f t="shared" si="26"/>
        <v>EDP SA 16/09/2054</v>
      </c>
      <c r="Q246" s="75">
        <v>2.22E-8</v>
      </c>
      <c r="R246" s="175" t="e">
        <f>IF(OR('Inventaire M-1'!#REF!="Dispo/Liquidité Investie",'Inventaire M-1'!#REF!="Option/Future",'Inventaire M-1'!#REF!="TCN",'Inventaire M-1'!#REF!=""),"-",'Inventaire M-1'!#REF!)</f>
        <v>#REF!</v>
      </c>
      <c r="S246" s="175" t="e">
        <f>IF(OR('Inventaire M-1'!#REF!="Dispo/Liquidité Investie",'Inventaire M-1'!#REF!="Option/Future",'Inventaire M-1'!#REF!="TCN",'Inventaire M-1'!#REF!=""),"-",'Inventaire M-1'!#REF!)</f>
        <v>#REF!</v>
      </c>
      <c r="T246" s="175"/>
      <c r="U246" s="175" t="e">
        <f>IF(R246="-","",INDEX('Inventaire M-1'!$A$2:$AG$9334,MATCH(R246,'Inventaire M-1'!$A:$A,0)-1,MATCH("Cours EUR",'Inventaire M-1'!#REF!,0)))</f>
        <v>#REF!</v>
      </c>
      <c r="V246" s="175" t="e">
        <f>IF(R246="-","",IF(ISERROR(INDEX('Inventaire M'!$A$2:$AD$9319,MATCH(R246,'Inventaire M'!$A:$A,0)-1,MATCH("Cours EUR",'Inventaire M'!#REF!,0))),"Sell",INDEX('Inventaire M'!$A$2:$AD$9319,MATCH(R246,'Inventaire M'!$A:$A,0)-1,MATCH("Cours EUR",'Inventaire M'!#REF!,0))))</f>
        <v>#REF!</v>
      </c>
      <c r="W246" s="175"/>
      <c r="X246" s="156" t="e">
        <f>IF(R246="-","",INDEX('Inventaire M-1'!$A$2:$AG$9334,MATCH(R246,'Inventaire M-1'!$A:$A,0)-1,MATCH("quantite",'Inventaire M-1'!#REF!,0)))</f>
        <v>#REF!</v>
      </c>
      <c r="Y246" s="156" t="e">
        <f>IF(S246="-","",IF(ISERROR(INDEX('Inventaire M'!$A$2:$AD$9319,MATCH(R246,'Inventaire M'!$A:$A,0)-1,MATCH("quantite",'Inventaire M'!#REF!,0))),"Sell",INDEX('Inventaire M'!$A$2:$AD$9319,MATCH(R246,'Inventaire M'!$A:$A,0)-1,MATCH("quantite",'Inventaire M'!#REF!,0))))</f>
        <v>#REF!</v>
      </c>
      <c r="Z246" s="175"/>
      <c r="AA246" s="155" t="e">
        <f>IF(R246="-","",INDEX('Inventaire M-1'!$A$2:$AG$9334,MATCH(R246,'Inventaire M-1'!$A:$A,0)-1,MATCH("poids",'Inventaire M-1'!#REF!,0)))</f>
        <v>#REF!</v>
      </c>
      <c r="AB246" s="155" t="e">
        <f>IF(R246="-","",IF(ISERROR(INDEX('Inventaire M'!$A$2:$AD$9319,MATCH(R246,'Inventaire M'!$A:$A,0)-1,MATCH("poids",'Inventaire M'!#REF!,0))),"Sell",INDEX('Inventaire M'!$A$2:$AD$9319,MATCH(R246,'Inventaire M'!$A:$A,0)-1,MATCH("poids",'Inventaire M'!#REF!,0))))</f>
        <v>#REF!</v>
      </c>
      <c r="AC246" s="175"/>
      <c r="AD246" s="157" t="str">
        <f t="shared" si="27"/>
        <v>0</v>
      </c>
      <c r="AE246" s="98" t="str">
        <f t="shared" si="28"/>
        <v/>
      </c>
      <c r="AF246" s="80" t="e">
        <f t="shared" si="29"/>
        <v>#REF!</v>
      </c>
    </row>
    <row r="247" spans="2:32" outlineLevel="1">
      <c r="B247" s="175" t="str">
        <f>IF(OR('Inventaire M'!D25="Dispo/Liquidité Investie",'Inventaire M'!D25="Option/Future",'Inventaire M'!D25="TCN",'Inventaire M'!D25=""),"-",'Inventaire M'!A25)</f>
        <v>PTEDPXOM0021</v>
      </c>
      <c r="C247" s="175" t="str">
        <f>IF(OR('Inventaire M'!D25="Dispo/Liquidité Investie",'Inventaire M'!D25="Option/Future",'Inventaire M'!D25="TCN",'Inventaire M'!D25=""),"-",'Inventaire M'!B25)</f>
        <v>EDP -  ENERGIAS DE PORTUGAL SA 14/03/2082</v>
      </c>
      <c r="D247" s="175"/>
      <c r="E247" s="175" t="e">
        <f>IF(B247="-","",INDEX('Inventaire M'!$A$2:$AW$9305,MATCH(B247,'Inventaire M'!$A:$A,0)-1,MATCH("Cours EUR",'Inventaire M'!#REF!,0)))</f>
        <v>#REF!</v>
      </c>
      <c r="F247" s="175" t="str">
        <f>IF(B247="-","",IF(ISERROR(INDEX('Inventaire M-1'!$A$2:$AZ$9320,MATCH(B247,'Inventaire M-1'!$A:$A,0)-1,MATCH("Cours EUR",'Inventaire M-1'!#REF!,0))),"Buy",INDEX('Inventaire M-1'!$A$2:$AZ$9320,MATCH(B247,'Inventaire M-1'!$A:$A,0)-1,MATCH("Cours EUR",'Inventaire M-1'!#REF!,0))))</f>
        <v>Buy</v>
      </c>
      <c r="G247" s="175"/>
      <c r="H247" s="156" t="e">
        <f>IF(B247="-","",INDEX('Inventaire M'!$A$2:$AW$9305,MATCH(B247,'Inventaire M'!$A:$A,0)-1,MATCH("quantite",'Inventaire M'!#REF!,0)))</f>
        <v>#REF!</v>
      </c>
      <c r="I247" s="156" t="str">
        <f>IF(C247="-","",IF(ISERROR(INDEX('Inventaire M-1'!$A$2:$AZ$9320,MATCH(B247,'Inventaire M-1'!$A:$A,0)-1,MATCH("quantite",'Inventaire M-1'!#REF!,0))),"Buy",INDEX('Inventaire M-1'!$A$2:$AZ$9320,MATCH(B247,'Inventaire M-1'!$A:$A,0)-1,MATCH("quantite",'Inventaire M-1'!#REF!,0))))</f>
        <v>Buy</v>
      </c>
      <c r="J247" s="175"/>
      <c r="K247" s="155" t="e">
        <f>IF(B247="-","",INDEX('Inventaire M'!$A$2:$AW$9305,MATCH(B247,'Inventaire M'!$A:$A,0)-1,MATCH("poids",'Inventaire M'!#REF!,0)))</f>
        <v>#REF!</v>
      </c>
      <c r="L247" s="155" t="str">
        <f>IF(B247="-","",IF(ISERROR(INDEX('Inventaire M-1'!$A$2:$AZ$9320,MATCH(B247,'Inventaire M-1'!$A:$A,0)-1,MATCH("poids",'Inventaire M-1'!#REF!,0))),"Buy",INDEX('Inventaire M-1'!$A$2:$AZ$9320,MATCH(B247,'Inventaire M-1'!$A:$A,0)-1,MATCH("poids",'Inventaire M-1'!#REF!,0))))</f>
        <v>Buy</v>
      </c>
      <c r="M247" s="175"/>
      <c r="N247" s="157" t="str">
        <f t="shared" si="24"/>
        <v>0</v>
      </c>
      <c r="O247" s="98" t="str">
        <f t="shared" si="25"/>
        <v/>
      </c>
      <c r="P247" s="80" t="str">
        <f t="shared" si="26"/>
        <v>EDP -  ENERGIAS DE PORTUGAL SA 14/03/2082</v>
      </c>
      <c r="Q247" s="75">
        <v>2.2300000000000001E-8</v>
      </c>
      <c r="R247" s="175" t="e">
        <f>IF(OR('Inventaire M-1'!#REF!="Dispo/Liquidité Investie",'Inventaire M-1'!#REF!="Option/Future",'Inventaire M-1'!#REF!="TCN",'Inventaire M-1'!#REF!=""),"-",'Inventaire M-1'!#REF!)</f>
        <v>#REF!</v>
      </c>
      <c r="S247" s="175" t="e">
        <f>IF(OR('Inventaire M-1'!#REF!="Dispo/Liquidité Investie",'Inventaire M-1'!#REF!="Option/Future",'Inventaire M-1'!#REF!="TCN",'Inventaire M-1'!#REF!=""),"-",'Inventaire M-1'!#REF!)</f>
        <v>#REF!</v>
      </c>
      <c r="T247" s="175"/>
      <c r="U247" s="175" t="e">
        <f>IF(R247="-","",INDEX('Inventaire M-1'!$A$2:$AG$9334,MATCH(R247,'Inventaire M-1'!$A:$A,0)-1,MATCH("Cours EUR",'Inventaire M-1'!#REF!,0)))</f>
        <v>#REF!</v>
      </c>
      <c r="V247" s="175" t="e">
        <f>IF(R247="-","",IF(ISERROR(INDEX('Inventaire M'!$A$2:$AD$9319,MATCH(R247,'Inventaire M'!$A:$A,0)-1,MATCH("Cours EUR",'Inventaire M'!#REF!,0))),"Sell",INDEX('Inventaire M'!$A$2:$AD$9319,MATCH(R247,'Inventaire M'!$A:$A,0)-1,MATCH("Cours EUR",'Inventaire M'!#REF!,0))))</f>
        <v>#REF!</v>
      </c>
      <c r="W247" s="175"/>
      <c r="X247" s="156" t="e">
        <f>IF(R247="-","",INDEX('Inventaire M-1'!$A$2:$AG$9334,MATCH(R247,'Inventaire M-1'!$A:$A,0)-1,MATCH("quantite",'Inventaire M-1'!#REF!,0)))</f>
        <v>#REF!</v>
      </c>
      <c r="Y247" s="156" t="e">
        <f>IF(S247="-","",IF(ISERROR(INDEX('Inventaire M'!$A$2:$AD$9319,MATCH(R247,'Inventaire M'!$A:$A,0)-1,MATCH("quantite",'Inventaire M'!#REF!,0))),"Sell",INDEX('Inventaire M'!$A$2:$AD$9319,MATCH(R247,'Inventaire M'!$A:$A,0)-1,MATCH("quantite",'Inventaire M'!#REF!,0))))</f>
        <v>#REF!</v>
      </c>
      <c r="Z247" s="175"/>
      <c r="AA247" s="155" t="e">
        <f>IF(R247="-","",INDEX('Inventaire M-1'!$A$2:$AG$9334,MATCH(R247,'Inventaire M-1'!$A:$A,0)-1,MATCH("poids",'Inventaire M-1'!#REF!,0)))</f>
        <v>#REF!</v>
      </c>
      <c r="AB247" s="155" t="e">
        <f>IF(R247="-","",IF(ISERROR(INDEX('Inventaire M'!$A$2:$AD$9319,MATCH(R247,'Inventaire M'!$A:$A,0)-1,MATCH("poids",'Inventaire M'!#REF!,0))),"Sell",INDEX('Inventaire M'!$A$2:$AD$9319,MATCH(R247,'Inventaire M'!$A:$A,0)-1,MATCH("poids",'Inventaire M'!#REF!,0))))</f>
        <v>#REF!</v>
      </c>
      <c r="AC247" s="175"/>
      <c r="AD247" s="157" t="str">
        <f t="shared" si="27"/>
        <v>0</v>
      </c>
      <c r="AE247" s="98" t="str">
        <f t="shared" si="28"/>
        <v/>
      </c>
      <c r="AF247" s="80" t="e">
        <f t="shared" si="29"/>
        <v>#REF!</v>
      </c>
    </row>
    <row r="248" spans="2:32" outlineLevel="1">
      <c r="B248" s="175" t="str">
        <f>IF(OR('Inventaire M'!D26="Dispo/Liquidité Investie",'Inventaire M'!D26="Option/Future",'Inventaire M'!D26="TCN",'Inventaire M'!D26=""),"-",'Inventaire M'!A26)</f>
        <v>QS0000183546</v>
      </c>
      <c r="C248" s="175" t="str">
        <f>IF(OR('Inventaire M'!D26="Dispo/Liquidité Investie",'Inventaire M'!D26="Option/Future",'Inventaire M'!D26="TCN",'Inventaire M'!D26=""),"-",'Inventaire M'!B26)</f>
        <v>LSA: (ITRAXX.XO.43.V2)</v>
      </c>
      <c r="D248" s="175"/>
      <c r="E248" s="175" t="e">
        <f>IF(B248="-","",INDEX('Inventaire M'!$A$2:$AW$9305,MATCH(B248,'Inventaire M'!$A:$A,0)-1,MATCH("Cours EUR",'Inventaire M'!#REF!,0)))</f>
        <v>#REF!</v>
      </c>
      <c r="F248" s="175" t="str">
        <f>IF(B248="-","",IF(ISERROR(INDEX('Inventaire M-1'!$A$2:$AZ$9320,MATCH(B248,'Inventaire M-1'!$A:$A,0)-1,MATCH("Cours EUR",'Inventaire M-1'!#REF!,0))),"Buy",INDEX('Inventaire M-1'!$A$2:$AZ$9320,MATCH(B248,'Inventaire M-1'!$A:$A,0)-1,MATCH("Cours EUR",'Inventaire M-1'!#REF!,0))))</f>
        <v>Buy</v>
      </c>
      <c r="G248" s="175"/>
      <c r="H248" s="156" t="e">
        <f>IF(B248="-","",INDEX('Inventaire M'!$A$2:$AW$9305,MATCH(B248,'Inventaire M'!$A:$A,0)-1,MATCH("quantite",'Inventaire M'!#REF!,0)))</f>
        <v>#REF!</v>
      </c>
      <c r="I248" s="156" t="str">
        <f>IF(C248="-","",IF(ISERROR(INDEX('Inventaire M-1'!$A$2:$AZ$9320,MATCH(B248,'Inventaire M-1'!$A:$A,0)-1,MATCH("quantite",'Inventaire M-1'!#REF!,0))),"Buy",INDEX('Inventaire M-1'!$A$2:$AZ$9320,MATCH(B248,'Inventaire M-1'!$A:$A,0)-1,MATCH("quantite",'Inventaire M-1'!#REF!,0))))</f>
        <v>Buy</v>
      </c>
      <c r="J248" s="175"/>
      <c r="K248" s="155" t="e">
        <f>IF(B248="-","",INDEX('Inventaire M'!$A$2:$AW$9305,MATCH(B248,'Inventaire M'!$A:$A,0)-1,MATCH("poids",'Inventaire M'!#REF!,0)))</f>
        <v>#REF!</v>
      </c>
      <c r="L248" s="155" t="str">
        <f>IF(B248="-","",IF(ISERROR(INDEX('Inventaire M-1'!$A$2:$AZ$9320,MATCH(B248,'Inventaire M-1'!$A:$A,0)-1,MATCH("poids",'Inventaire M-1'!#REF!,0))),"Buy",INDEX('Inventaire M-1'!$A$2:$AZ$9320,MATCH(B248,'Inventaire M-1'!$A:$A,0)-1,MATCH("poids",'Inventaire M-1'!#REF!,0))))</f>
        <v>Buy</v>
      </c>
      <c r="M248" s="175"/>
      <c r="N248" s="157" t="str">
        <f t="shared" si="24"/>
        <v>0</v>
      </c>
      <c r="O248" s="98" t="str">
        <f t="shared" si="25"/>
        <v/>
      </c>
      <c r="P248" s="80" t="str">
        <f t="shared" si="26"/>
        <v>LSA: (ITRAXX.XO.43.V2)</v>
      </c>
      <c r="Q248" s="75">
        <v>2.2399999999999999E-8</v>
      </c>
      <c r="R248" s="175" t="e">
        <f>IF(OR('Inventaire M-1'!#REF!="Dispo/Liquidité Investie",'Inventaire M-1'!#REF!="Option/Future",'Inventaire M-1'!#REF!="TCN",'Inventaire M-1'!#REF!=""),"-",'Inventaire M-1'!#REF!)</f>
        <v>#REF!</v>
      </c>
      <c r="S248" s="175" t="e">
        <f>IF(OR('Inventaire M-1'!#REF!="Dispo/Liquidité Investie",'Inventaire M-1'!#REF!="Option/Future",'Inventaire M-1'!#REF!="TCN",'Inventaire M-1'!#REF!=""),"-",'Inventaire M-1'!#REF!)</f>
        <v>#REF!</v>
      </c>
      <c r="T248" s="175"/>
      <c r="U248" s="175" t="e">
        <f>IF(R248="-","",INDEX('Inventaire M-1'!$A$2:$AG$9334,MATCH(R248,'Inventaire M-1'!$A:$A,0)-1,MATCH("Cours EUR",'Inventaire M-1'!#REF!,0)))</f>
        <v>#REF!</v>
      </c>
      <c r="V248" s="175" t="e">
        <f>IF(R248="-","",IF(ISERROR(INDEX('Inventaire M'!$A$2:$AD$9319,MATCH(R248,'Inventaire M'!$A:$A,0)-1,MATCH("Cours EUR",'Inventaire M'!#REF!,0))),"Sell",INDEX('Inventaire M'!$A$2:$AD$9319,MATCH(R248,'Inventaire M'!$A:$A,0)-1,MATCH("Cours EUR",'Inventaire M'!#REF!,0))))</f>
        <v>#REF!</v>
      </c>
      <c r="W248" s="175"/>
      <c r="X248" s="156" t="e">
        <f>IF(R248="-","",INDEX('Inventaire M-1'!$A$2:$AG$9334,MATCH(R248,'Inventaire M-1'!$A:$A,0)-1,MATCH("quantite",'Inventaire M-1'!#REF!,0)))</f>
        <v>#REF!</v>
      </c>
      <c r="Y248" s="156" t="e">
        <f>IF(S248="-","",IF(ISERROR(INDEX('Inventaire M'!$A$2:$AD$9319,MATCH(R248,'Inventaire M'!$A:$A,0)-1,MATCH("quantite",'Inventaire M'!#REF!,0))),"Sell",INDEX('Inventaire M'!$A$2:$AD$9319,MATCH(R248,'Inventaire M'!$A:$A,0)-1,MATCH("quantite",'Inventaire M'!#REF!,0))))</f>
        <v>#REF!</v>
      </c>
      <c r="Z248" s="175"/>
      <c r="AA248" s="155" t="e">
        <f>IF(R248="-","",INDEX('Inventaire M-1'!$A$2:$AG$9334,MATCH(R248,'Inventaire M-1'!$A:$A,0)-1,MATCH("poids",'Inventaire M-1'!#REF!,0)))</f>
        <v>#REF!</v>
      </c>
      <c r="AB248" s="155" t="e">
        <f>IF(R248="-","",IF(ISERROR(INDEX('Inventaire M'!$A$2:$AD$9319,MATCH(R248,'Inventaire M'!$A:$A,0)-1,MATCH("poids",'Inventaire M'!#REF!,0))),"Sell",INDEX('Inventaire M'!$A$2:$AD$9319,MATCH(R248,'Inventaire M'!$A:$A,0)-1,MATCH("poids",'Inventaire M'!#REF!,0))))</f>
        <v>#REF!</v>
      </c>
      <c r="AC248" s="175"/>
      <c r="AD248" s="157" t="str">
        <f t="shared" si="27"/>
        <v>0</v>
      </c>
      <c r="AE248" s="98" t="str">
        <f t="shared" si="28"/>
        <v/>
      </c>
      <c r="AF248" s="80" t="e">
        <f t="shared" si="29"/>
        <v>#REF!</v>
      </c>
    </row>
    <row r="249" spans="2:32" outlineLevel="1">
      <c r="B249" s="175" t="str">
        <f>IF(OR('Inventaire M'!D27="Dispo/Liquidité Investie",'Inventaire M'!D27="Option/Future",'Inventaire M'!D27="TCN",'Inventaire M'!D27=""),"-",'Inventaire M'!A27)</f>
        <v>QS0003091590</v>
      </c>
      <c r="C249" s="175" t="str">
        <f>IF(OR('Inventaire M'!D27="Dispo/Liquidité Investie",'Inventaire M'!D27="Option/Future",'Inventaire M'!D27="TCN",'Inventaire M'!D27=""),"-",'Inventaire M'!B27)</f>
        <v>FORTUNE MANAGEMENT</v>
      </c>
      <c r="D249" s="175"/>
      <c r="E249" s="175" t="e">
        <f>IF(B249="-","",INDEX('Inventaire M'!$A$2:$AW$9305,MATCH(B249,'Inventaire M'!$A:$A,0)-1,MATCH("Cours EUR",'Inventaire M'!#REF!,0)))</f>
        <v>#REF!</v>
      </c>
      <c r="F249" s="175" t="str">
        <f>IF(B249="-","",IF(ISERROR(INDEX('Inventaire M-1'!$A$2:$AZ$9320,MATCH(B249,'Inventaire M-1'!$A:$A,0)-1,MATCH("Cours EUR",'Inventaire M-1'!#REF!,0))),"Buy",INDEX('Inventaire M-1'!$A$2:$AZ$9320,MATCH(B249,'Inventaire M-1'!$A:$A,0)-1,MATCH("Cours EUR",'Inventaire M-1'!#REF!,0))))</f>
        <v>Buy</v>
      </c>
      <c r="G249" s="175"/>
      <c r="H249" s="156" t="e">
        <f>IF(B249="-","",INDEX('Inventaire M'!$A$2:$AW$9305,MATCH(B249,'Inventaire M'!$A:$A,0)-1,MATCH("quantite",'Inventaire M'!#REF!,0)))</f>
        <v>#REF!</v>
      </c>
      <c r="I249" s="156" t="str">
        <f>IF(C249="-","",IF(ISERROR(INDEX('Inventaire M-1'!$A$2:$AZ$9320,MATCH(B249,'Inventaire M-1'!$A:$A,0)-1,MATCH("quantite",'Inventaire M-1'!#REF!,0))),"Buy",INDEX('Inventaire M-1'!$A$2:$AZ$9320,MATCH(B249,'Inventaire M-1'!$A:$A,0)-1,MATCH("quantite",'Inventaire M-1'!#REF!,0))))</f>
        <v>Buy</v>
      </c>
      <c r="J249" s="175"/>
      <c r="K249" s="155" t="e">
        <f>IF(B249="-","",INDEX('Inventaire M'!$A$2:$AW$9305,MATCH(B249,'Inventaire M'!$A:$A,0)-1,MATCH("poids",'Inventaire M'!#REF!,0)))</f>
        <v>#REF!</v>
      </c>
      <c r="L249" s="155" t="str">
        <f>IF(B249="-","",IF(ISERROR(INDEX('Inventaire M-1'!$A$2:$AZ$9320,MATCH(B249,'Inventaire M-1'!$A:$A,0)-1,MATCH("poids",'Inventaire M-1'!#REF!,0))),"Buy",INDEX('Inventaire M-1'!$A$2:$AZ$9320,MATCH(B249,'Inventaire M-1'!$A:$A,0)-1,MATCH("poids",'Inventaire M-1'!#REF!,0))))</f>
        <v>Buy</v>
      </c>
      <c r="M249" s="175"/>
      <c r="N249" s="157" t="str">
        <f t="shared" si="24"/>
        <v>0</v>
      </c>
      <c r="O249" s="98" t="str">
        <f t="shared" si="25"/>
        <v/>
      </c>
      <c r="P249" s="80" t="str">
        <f t="shared" si="26"/>
        <v>FORTUNE MANAGEMENT</v>
      </c>
      <c r="Q249" s="75">
        <v>2.25E-8</v>
      </c>
      <c r="R249" s="175" t="str">
        <f>IF(OR('Inventaire M-1'!D2="Dispo/Liquidité Investie",'Inventaire M-1'!D2="Option/Future",'Inventaire M-1'!D2="TCN",'Inventaire M-1'!D2=""),"-",'Inventaire M-1'!A2)</f>
        <v>codeIsinTitre</v>
      </c>
      <c r="S249" s="175" t="str">
        <f>IF(OR('Inventaire M-1'!D2="Dispo/Liquidité Investie",'Inventaire M-1'!D2="Option/Future",'Inventaire M-1'!D2="TCN",'Inventaire M-1'!D2=""),"-",'Inventaire M-1'!B2)</f>
        <v>libelleTitreReferentiel</v>
      </c>
      <c r="T249" s="175"/>
      <c r="U249" s="175" t="e">
        <f>IF(R249="-","",INDEX('Inventaire M-1'!$A$2:$AG$9334,MATCH(R249,'Inventaire M-1'!$A:$A,0)-1,MATCH("Cours EUR",'Inventaire M-1'!#REF!,0)))</f>
        <v>#REF!</v>
      </c>
      <c r="V249" s="175" t="str">
        <f>IF(R249="-","",IF(ISERROR(INDEX('Inventaire M'!$A$2:$AD$9319,MATCH(R249,'Inventaire M'!$A:$A,0)-1,MATCH("Cours EUR",'Inventaire M'!#REF!,0))),"Sell",INDEX('Inventaire M'!$A$2:$AD$9319,MATCH(R249,'Inventaire M'!$A:$A,0)-1,MATCH("Cours EUR",'Inventaire M'!#REF!,0))))</f>
        <v>Sell</v>
      </c>
      <c r="W249" s="175"/>
      <c r="X249" s="156" t="e">
        <f>IF(R249="-","",INDEX('Inventaire M-1'!$A$2:$AG$9334,MATCH(R249,'Inventaire M-1'!$A:$A,0)-1,MATCH("quantite",'Inventaire M-1'!#REF!,0)))</f>
        <v>#REF!</v>
      </c>
      <c r="Y249" s="156" t="str">
        <f>IF(S249="-","",IF(ISERROR(INDEX('Inventaire M'!$A$2:$AD$9319,MATCH(R249,'Inventaire M'!$A:$A,0)-1,MATCH("quantite",'Inventaire M'!#REF!,0))),"Sell",INDEX('Inventaire M'!$A$2:$AD$9319,MATCH(R249,'Inventaire M'!$A:$A,0)-1,MATCH("quantite",'Inventaire M'!#REF!,0))))</f>
        <v>Sell</v>
      </c>
      <c r="Z249" s="175"/>
      <c r="AA249" s="155" t="e">
        <f>IF(R249="-","",INDEX('Inventaire M-1'!$A$2:$AG$9334,MATCH(R249,'Inventaire M-1'!$A:$A,0)-1,MATCH("poids",'Inventaire M-1'!#REF!,0)))</f>
        <v>#REF!</v>
      </c>
      <c r="AB249" s="155" t="str">
        <f>IF(R249="-","",IF(ISERROR(INDEX('Inventaire M'!$A$2:$AD$9319,MATCH(R249,'Inventaire M'!$A:$A,0)-1,MATCH("poids",'Inventaire M'!#REF!,0))),"Sell",INDEX('Inventaire M'!$A$2:$AD$9319,MATCH(R249,'Inventaire M'!$A:$A,0)-1,MATCH("poids",'Inventaire M'!#REF!,0))))</f>
        <v>Sell</v>
      </c>
      <c r="AC249" s="175"/>
      <c r="AD249" s="157" t="str">
        <f t="shared" si="27"/>
        <v>0</v>
      </c>
      <c r="AE249" s="98" t="str">
        <f t="shared" si="28"/>
        <v/>
      </c>
      <c r="AF249" s="80" t="str">
        <f t="shared" si="29"/>
        <v>libelleTitreReferentiel</v>
      </c>
    </row>
    <row r="250" spans="2:32" outlineLevel="1">
      <c r="B250" s="175" t="str">
        <f>IF(OR('Inventaire M'!D28="Dispo/Liquidité Investie",'Inventaire M'!D28="Option/Future",'Inventaire M'!D28="TCN",'Inventaire M'!D28=""),"-",'Inventaire M'!A28)</f>
        <v>US4652661046</v>
      </c>
      <c r="C250" s="175" t="str">
        <f>IF(OR('Inventaire M'!D28="Dispo/Liquidité Investie",'Inventaire M'!D28="Option/Future",'Inventaire M'!D28="TCN",'Inventaire M'!D28=""),"-",'Inventaire M'!B28)</f>
        <v>IT GROUP INC</v>
      </c>
      <c r="D250" s="175"/>
      <c r="E250" s="175" t="e">
        <f>IF(B250="-","",INDEX('Inventaire M'!$A$2:$AW$9305,MATCH(B250,'Inventaire M'!$A:$A,0)-1,MATCH("Cours EUR",'Inventaire M'!#REF!,0)))</f>
        <v>#REF!</v>
      </c>
      <c r="F250" s="175" t="str">
        <f>IF(B250="-","",IF(ISERROR(INDEX('Inventaire M-1'!$A$2:$AZ$9320,MATCH(B250,'Inventaire M-1'!$A:$A,0)-1,MATCH("Cours EUR",'Inventaire M-1'!#REF!,0))),"Buy",INDEX('Inventaire M-1'!$A$2:$AZ$9320,MATCH(B250,'Inventaire M-1'!$A:$A,0)-1,MATCH("Cours EUR",'Inventaire M-1'!#REF!,0))))</f>
        <v>Buy</v>
      </c>
      <c r="G250" s="175"/>
      <c r="H250" s="156" t="e">
        <f>IF(B250="-","",INDEX('Inventaire M'!$A$2:$AW$9305,MATCH(B250,'Inventaire M'!$A:$A,0)-1,MATCH("quantite",'Inventaire M'!#REF!,0)))</f>
        <v>#REF!</v>
      </c>
      <c r="I250" s="156" t="str">
        <f>IF(C250="-","",IF(ISERROR(INDEX('Inventaire M-1'!$A$2:$AZ$9320,MATCH(B250,'Inventaire M-1'!$A:$A,0)-1,MATCH("quantite",'Inventaire M-1'!#REF!,0))),"Buy",INDEX('Inventaire M-1'!$A$2:$AZ$9320,MATCH(B250,'Inventaire M-1'!$A:$A,0)-1,MATCH("quantite",'Inventaire M-1'!#REF!,0))))</f>
        <v>Buy</v>
      </c>
      <c r="J250" s="175"/>
      <c r="K250" s="155" t="e">
        <f>IF(B250="-","",INDEX('Inventaire M'!$A$2:$AW$9305,MATCH(B250,'Inventaire M'!$A:$A,0)-1,MATCH("poids",'Inventaire M'!#REF!,0)))</f>
        <v>#REF!</v>
      </c>
      <c r="L250" s="155" t="str">
        <f>IF(B250="-","",IF(ISERROR(INDEX('Inventaire M-1'!$A$2:$AZ$9320,MATCH(B250,'Inventaire M-1'!$A:$A,0)-1,MATCH("poids",'Inventaire M-1'!#REF!,0))),"Buy",INDEX('Inventaire M-1'!$A$2:$AZ$9320,MATCH(B250,'Inventaire M-1'!$A:$A,0)-1,MATCH("poids",'Inventaire M-1'!#REF!,0))))</f>
        <v>Buy</v>
      </c>
      <c r="M250" s="175"/>
      <c r="N250" s="157" t="str">
        <f t="shared" si="24"/>
        <v>0</v>
      </c>
      <c r="O250" s="98" t="str">
        <f t="shared" si="25"/>
        <v/>
      </c>
      <c r="P250" s="80" t="str">
        <f t="shared" si="26"/>
        <v>IT GROUP INC</v>
      </c>
      <c r="Q250" s="75">
        <v>2.2600000000000001E-8</v>
      </c>
      <c r="R250" s="175" t="str">
        <f>IF(OR('Inventaire M-1'!D3="Dispo/Liquidité Investie",'Inventaire M-1'!D3="Option/Future",'Inventaire M-1'!D3="TCN",'Inventaire M-1'!D3=""),"-",'Inventaire M-1'!A3)</f>
        <v xml:space="preserve"> </v>
      </c>
      <c r="S250" s="175" t="str">
        <f>IF(OR('Inventaire M-1'!D3="Dispo/Liquidité Investie",'Inventaire M-1'!D3="Option/Future",'Inventaire M-1'!D3="TCN",'Inventaire M-1'!D3=""),"-",'Inventaire M-1'!B3)</f>
        <v>Disponibilié</v>
      </c>
      <c r="T250" s="175"/>
      <c r="U250" s="175" t="e">
        <f>IF(R250="-","",INDEX('Inventaire M-1'!$A$2:$AG$9334,MATCH(R250,'Inventaire M-1'!$A:$A,0)-1,MATCH("Cours EUR",'Inventaire M-1'!#REF!,0)))</f>
        <v>#REF!</v>
      </c>
      <c r="V250" s="175" t="str">
        <f>IF(R250="-","",IF(ISERROR(INDEX('Inventaire M'!$A$2:$AD$9319,MATCH(R250,'Inventaire M'!$A:$A,0)-1,MATCH("Cours EUR",'Inventaire M'!#REF!,0))),"Sell",INDEX('Inventaire M'!$A$2:$AD$9319,MATCH(R250,'Inventaire M'!$A:$A,0)-1,MATCH("Cours EUR",'Inventaire M'!#REF!,0))))</f>
        <v>Sell</v>
      </c>
      <c r="W250" s="175"/>
      <c r="X250" s="156" t="e">
        <f>IF(R250="-","",INDEX('Inventaire M-1'!$A$2:$AG$9334,MATCH(R250,'Inventaire M-1'!$A:$A,0)-1,MATCH("quantite",'Inventaire M-1'!#REF!,0)))</f>
        <v>#REF!</v>
      </c>
      <c r="Y250" s="156" t="str">
        <f>IF(S250="-","",IF(ISERROR(INDEX('Inventaire M'!$A$2:$AD$9319,MATCH(R250,'Inventaire M'!$A:$A,0)-1,MATCH("quantite",'Inventaire M'!#REF!,0))),"Sell",INDEX('Inventaire M'!$A$2:$AD$9319,MATCH(R250,'Inventaire M'!$A:$A,0)-1,MATCH("quantite",'Inventaire M'!#REF!,0))))</f>
        <v>Sell</v>
      </c>
      <c r="Z250" s="175"/>
      <c r="AA250" s="155" t="e">
        <f>IF(R250="-","",INDEX('Inventaire M-1'!$A$2:$AG$9334,MATCH(R250,'Inventaire M-1'!$A:$A,0)-1,MATCH("poids",'Inventaire M-1'!#REF!,0)))</f>
        <v>#REF!</v>
      </c>
      <c r="AB250" s="155" t="str">
        <f>IF(R250="-","",IF(ISERROR(INDEX('Inventaire M'!$A$2:$AD$9319,MATCH(R250,'Inventaire M'!$A:$A,0)-1,MATCH("poids",'Inventaire M'!#REF!,0))),"Sell",INDEX('Inventaire M'!$A$2:$AD$9319,MATCH(R250,'Inventaire M'!$A:$A,0)-1,MATCH("poids",'Inventaire M'!#REF!,0))))</f>
        <v>Sell</v>
      </c>
      <c r="AC250" s="175"/>
      <c r="AD250" s="157" t="str">
        <f t="shared" si="27"/>
        <v>0</v>
      </c>
      <c r="AE250" s="98" t="str">
        <f t="shared" si="28"/>
        <v/>
      </c>
      <c r="AF250" s="80" t="str">
        <f t="shared" si="29"/>
        <v>Disponibilié</v>
      </c>
    </row>
    <row r="251" spans="2:32" outlineLevel="1">
      <c r="B251" s="175" t="str">
        <f>IF(OR('Inventaire M'!D29="Dispo/Liquidité Investie",'Inventaire M'!D29="Option/Future",'Inventaire M'!D29="TCN",'Inventaire M'!D29=""),"-",'Inventaire M'!A29)</f>
        <v>US6680741070</v>
      </c>
      <c r="C251" s="175" t="str">
        <f>IF(OR('Inventaire M'!D29="Dispo/Liquidité Investie",'Inventaire M'!D29="Option/Future",'Inventaire M'!D29="TCN",'Inventaire M'!D29=""),"-",'Inventaire M'!B29)</f>
        <v>NORTHWESTERN CORPORATION</v>
      </c>
      <c r="D251" s="175"/>
      <c r="E251" s="175" t="e">
        <f>IF(B251="-","",INDEX('Inventaire M'!$A$2:$AW$9305,MATCH(B251,'Inventaire M'!$A:$A,0)-1,MATCH("Cours EUR",'Inventaire M'!#REF!,0)))</f>
        <v>#REF!</v>
      </c>
      <c r="F251" s="175" t="str">
        <f>IF(B251="-","",IF(ISERROR(INDEX('Inventaire M-1'!$A$2:$AZ$9320,MATCH(B251,'Inventaire M-1'!$A:$A,0)-1,MATCH("Cours EUR",'Inventaire M-1'!#REF!,0))),"Buy",INDEX('Inventaire M-1'!$A$2:$AZ$9320,MATCH(B251,'Inventaire M-1'!$A:$A,0)-1,MATCH("Cours EUR",'Inventaire M-1'!#REF!,0))))</f>
        <v>Buy</v>
      </c>
      <c r="G251" s="175"/>
      <c r="H251" s="156" t="e">
        <f>IF(B251="-","",INDEX('Inventaire M'!$A$2:$AW$9305,MATCH(B251,'Inventaire M'!$A:$A,0)-1,MATCH("quantite",'Inventaire M'!#REF!,0)))</f>
        <v>#REF!</v>
      </c>
      <c r="I251" s="156" t="str">
        <f>IF(C251="-","",IF(ISERROR(INDEX('Inventaire M-1'!$A$2:$AZ$9320,MATCH(B251,'Inventaire M-1'!$A:$A,0)-1,MATCH("quantite",'Inventaire M-1'!#REF!,0))),"Buy",INDEX('Inventaire M-1'!$A$2:$AZ$9320,MATCH(B251,'Inventaire M-1'!$A:$A,0)-1,MATCH("quantite",'Inventaire M-1'!#REF!,0))))</f>
        <v>Buy</v>
      </c>
      <c r="J251" s="175"/>
      <c r="K251" s="155" t="e">
        <f>IF(B251="-","",INDEX('Inventaire M'!$A$2:$AW$9305,MATCH(B251,'Inventaire M'!$A:$A,0)-1,MATCH("poids",'Inventaire M'!#REF!,0)))</f>
        <v>#REF!</v>
      </c>
      <c r="L251" s="155" t="str">
        <f>IF(B251="-","",IF(ISERROR(INDEX('Inventaire M-1'!$A$2:$AZ$9320,MATCH(B251,'Inventaire M-1'!$A:$A,0)-1,MATCH("poids",'Inventaire M-1'!#REF!,0))),"Buy",INDEX('Inventaire M-1'!$A$2:$AZ$9320,MATCH(B251,'Inventaire M-1'!$A:$A,0)-1,MATCH("poids",'Inventaire M-1'!#REF!,0))))</f>
        <v>Buy</v>
      </c>
      <c r="M251" s="175"/>
      <c r="N251" s="157" t="str">
        <f t="shared" si="24"/>
        <v>0</v>
      </c>
      <c r="O251" s="98" t="str">
        <f t="shared" si="25"/>
        <v/>
      </c>
      <c r="P251" s="80" t="str">
        <f t="shared" si="26"/>
        <v>NORTHWESTERN CORPORATION</v>
      </c>
      <c r="Q251" s="75">
        <v>2.2700000000000001E-8</v>
      </c>
      <c r="R251" s="175" t="str">
        <f>IF(OR('Inventaire M-1'!D4="Dispo/Liquidité Investie",'Inventaire M-1'!D4="Option/Future",'Inventaire M-1'!D4="TCN",'Inventaire M-1'!D4=""),"-",'Inventaire M-1'!A4)</f>
        <v>-</v>
      </c>
      <c r="S251" s="175" t="str">
        <f>IF(OR('Inventaire M-1'!D4="Dispo/Liquidité Investie",'Inventaire M-1'!D4="Option/Future",'Inventaire M-1'!D4="TCN",'Inventaire M-1'!D4=""),"-",'Inventaire M-1'!B4)</f>
        <v>-</v>
      </c>
      <c r="T251" s="175"/>
      <c r="U251" s="175" t="str">
        <f>IF(R251="-","",INDEX('Inventaire M-1'!$A$2:$AG$9334,MATCH(R251,'Inventaire M-1'!$A:$A,0)-1,MATCH("Cours EUR",'Inventaire M-1'!#REF!,0)))</f>
        <v/>
      </c>
      <c r="V251" s="175" t="str">
        <f>IF(R251="-","",IF(ISERROR(INDEX('Inventaire M'!$A$2:$AD$9319,MATCH(R251,'Inventaire M'!$A:$A,0)-1,MATCH("Cours EUR",'Inventaire M'!#REF!,0))),"Sell",INDEX('Inventaire M'!$A$2:$AD$9319,MATCH(R251,'Inventaire M'!$A:$A,0)-1,MATCH("Cours EUR",'Inventaire M'!#REF!,0))))</f>
        <v/>
      </c>
      <c r="W251" s="175"/>
      <c r="X251" s="156" t="str">
        <f>IF(R251="-","",INDEX('Inventaire M-1'!$A$2:$AG$9334,MATCH(R251,'Inventaire M-1'!$A:$A,0)-1,MATCH("quantite",'Inventaire M-1'!#REF!,0)))</f>
        <v/>
      </c>
      <c r="Y251" s="156" t="str">
        <f>IF(S251="-","",IF(ISERROR(INDEX('Inventaire M'!$A$2:$AD$9319,MATCH(R251,'Inventaire M'!$A:$A,0)-1,MATCH("quantite",'Inventaire M'!#REF!,0))),"Sell",INDEX('Inventaire M'!$A$2:$AD$9319,MATCH(R251,'Inventaire M'!$A:$A,0)-1,MATCH("quantite",'Inventaire M'!#REF!,0))))</f>
        <v/>
      </c>
      <c r="Z251" s="175"/>
      <c r="AA251" s="155" t="str">
        <f>IF(R251="-","",INDEX('Inventaire M-1'!$A$2:$AG$9334,MATCH(R251,'Inventaire M-1'!$A:$A,0)-1,MATCH("poids",'Inventaire M-1'!#REF!,0)))</f>
        <v/>
      </c>
      <c r="AB251" s="155" t="str">
        <f>IF(R251="-","",IF(ISERROR(INDEX('Inventaire M'!$A$2:$AD$9319,MATCH(R251,'Inventaire M'!$A:$A,0)-1,MATCH("poids",'Inventaire M'!#REF!,0))),"Sell",INDEX('Inventaire M'!$A$2:$AD$9319,MATCH(R251,'Inventaire M'!$A:$A,0)-1,MATCH("poids",'Inventaire M'!#REF!,0))))</f>
        <v/>
      </c>
      <c r="AC251" s="175"/>
      <c r="AD251" s="157" t="str">
        <f t="shared" si="27"/>
        <v>0</v>
      </c>
      <c r="AE251" s="98" t="str">
        <f t="shared" si="28"/>
        <v/>
      </c>
      <c r="AF251" s="80" t="str">
        <f t="shared" si="29"/>
        <v>-</v>
      </c>
    </row>
    <row r="252" spans="2:32" outlineLevel="1">
      <c r="B252" s="175" t="str">
        <f>IF(OR('Inventaire M'!D30="Dispo/Liquidité Investie",'Inventaire M'!D30="Option/Future",'Inventaire M'!D30="TCN",'Inventaire M'!D30=""),"-",'Inventaire M'!A30)</f>
        <v>US70558AAB26</v>
      </c>
      <c r="C252" s="175" t="str">
        <f>IF(OR('Inventaire M'!D30="Dispo/Liquidité Investie",'Inventaire M'!D30="Option/Future",'Inventaire M'!D30="TCN",'Inventaire M'!D30=""),"-",'Inventaire M'!B30)</f>
        <v>PEGASUS SATELLITE COMMUNICATIONS I 31/12/2222</v>
      </c>
      <c r="D252" s="175"/>
      <c r="E252" s="175" t="e">
        <f>IF(B252="-","",INDEX('Inventaire M'!$A$2:$AW$9305,MATCH(B252,'Inventaire M'!$A:$A,0)-1,MATCH("Cours EUR",'Inventaire M'!#REF!,0)))</f>
        <v>#REF!</v>
      </c>
      <c r="F252" s="175" t="str">
        <f>IF(B252="-","",IF(ISERROR(INDEX('Inventaire M-1'!$A$2:$AZ$9320,MATCH(B252,'Inventaire M-1'!$A:$A,0)-1,MATCH("Cours EUR",'Inventaire M-1'!#REF!,0))),"Buy",INDEX('Inventaire M-1'!$A$2:$AZ$9320,MATCH(B252,'Inventaire M-1'!$A:$A,0)-1,MATCH("Cours EUR",'Inventaire M-1'!#REF!,0))))</f>
        <v>Buy</v>
      </c>
      <c r="G252" s="175"/>
      <c r="H252" s="156" t="e">
        <f>IF(B252="-","",INDEX('Inventaire M'!$A$2:$AW$9305,MATCH(B252,'Inventaire M'!$A:$A,0)-1,MATCH("quantite",'Inventaire M'!#REF!,0)))</f>
        <v>#REF!</v>
      </c>
      <c r="I252" s="156" t="str">
        <f>IF(C252="-","",IF(ISERROR(INDEX('Inventaire M-1'!$A$2:$AZ$9320,MATCH(B252,'Inventaire M-1'!$A:$A,0)-1,MATCH("quantite",'Inventaire M-1'!#REF!,0))),"Buy",INDEX('Inventaire M-1'!$A$2:$AZ$9320,MATCH(B252,'Inventaire M-1'!$A:$A,0)-1,MATCH("quantite",'Inventaire M-1'!#REF!,0))))</f>
        <v>Buy</v>
      </c>
      <c r="J252" s="175"/>
      <c r="K252" s="155" t="e">
        <f>IF(B252="-","",INDEX('Inventaire M'!$A$2:$AW$9305,MATCH(B252,'Inventaire M'!$A:$A,0)-1,MATCH("poids",'Inventaire M'!#REF!,0)))</f>
        <v>#REF!</v>
      </c>
      <c r="L252" s="155" t="str">
        <f>IF(B252="-","",IF(ISERROR(INDEX('Inventaire M-1'!$A$2:$AZ$9320,MATCH(B252,'Inventaire M-1'!$A:$A,0)-1,MATCH("poids",'Inventaire M-1'!#REF!,0))),"Buy",INDEX('Inventaire M-1'!$A$2:$AZ$9320,MATCH(B252,'Inventaire M-1'!$A:$A,0)-1,MATCH("poids",'Inventaire M-1'!#REF!,0))))</f>
        <v>Buy</v>
      </c>
      <c r="M252" s="175"/>
      <c r="N252" s="157" t="str">
        <f t="shared" si="24"/>
        <v>0</v>
      </c>
      <c r="O252" s="98" t="str">
        <f t="shared" si="25"/>
        <v/>
      </c>
      <c r="P252" s="80" t="str">
        <f t="shared" si="26"/>
        <v>PEGASUS SATELLITE COMMUNICATIONS I 31/12/2222</v>
      </c>
      <c r="Q252" s="75">
        <v>2.2799999999999999E-8</v>
      </c>
      <c r="R252" s="175" t="str">
        <f>IF(OR('Inventaire M-1'!D5="Dispo/Liquidité Investie",'Inventaire M-1'!D5="Option/Future",'Inventaire M-1'!D5="TCN",'Inventaire M-1'!D5=""),"-",'Inventaire M-1'!A5)</f>
        <v>BE6342263157</v>
      </c>
      <c r="S252" s="175" t="str">
        <f>IF(OR('Inventaire M-1'!D5="Dispo/Liquidité Investie",'Inventaire M-1'!D5="Option/Future",'Inventaire M-1'!D5="TCN",'Inventaire M-1'!D5=""),"-",'Inventaire M-1'!B5)</f>
        <v>AZELIS FINANCE NV 5.75 15/03/2028</v>
      </c>
      <c r="T252" s="175"/>
      <c r="U252" s="175" t="e">
        <f>IF(R252="-","",INDEX('Inventaire M-1'!$A$2:$AG$9334,MATCH(R252,'Inventaire M-1'!$A:$A,0)-1,MATCH("Cours EUR",'Inventaire M-1'!#REF!,0)))</f>
        <v>#REF!</v>
      </c>
      <c r="V252" s="175" t="str">
        <f>IF(R252="-","",IF(ISERROR(INDEX('Inventaire M'!$A$2:$AD$9319,MATCH(R252,'Inventaire M'!$A:$A,0)-1,MATCH("Cours EUR",'Inventaire M'!#REF!,0))),"Sell",INDEX('Inventaire M'!$A$2:$AD$9319,MATCH(R252,'Inventaire M'!$A:$A,0)-1,MATCH("Cours EUR",'Inventaire M'!#REF!,0))))</f>
        <v>Sell</v>
      </c>
      <c r="W252" s="175"/>
      <c r="X252" s="156" t="e">
        <f>IF(R252="-","",INDEX('Inventaire M-1'!$A$2:$AG$9334,MATCH(R252,'Inventaire M-1'!$A:$A,0)-1,MATCH("quantite",'Inventaire M-1'!#REF!,0)))</f>
        <v>#REF!</v>
      </c>
      <c r="Y252" s="156" t="str">
        <f>IF(S252="-","",IF(ISERROR(INDEX('Inventaire M'!$A$2:$AD$9319,MATCH(R252,'Inventaire M'!$A:$A,0)-1,MATCH("quantite",'Inventaire M'!#REF!,0))),"Sell",INDEX('Inventaire M'!$A$2:$AD$9319,MATCH(R252,'Inventaire M'!$A:$A,0)-1,MATCH("quantite",'Inventaire M'!#REF!,0))))</f>
        <v>Sell</v>
      </c>
      <c r="Z252" s="175"/>
      <c r="AA252" s="155" t="e">
        <f>IF(R252="-","",INDEX('Inventaire M-1'!$A$2:$AG$9334,MATCH(R252,'Inventaire M-1'!$A:$A,0)-1,MATCH("poids",'Inventaire M-1'!#REF!,0)))</f>
        <v>#REF!</v>
      </c>
      <c r="AB252" s="155" t="str">
        <f>IF(R252="-","",IF(ISERROR(INDEX('Inventaire M'!$A$2:$AD$9319,MATCH(R252,'Inventaire M'!$A:$A,0)-1,MATCH("poids",'Inventaire M'!#REF!,0))),"Sell",INDEX('Inventaire M'!$A$2:$AD$9319,MATCH(R252,'Inventaire M'!$A:$A,0)-1,MATCH("poids",'Inventaire M'!#REF!,0))))</f>
        <v>Sell</v>
      </c>
      <c r="AC252" s="175"/>
      <c r="AD252" s="157" t="str">
        <f t="shared" si="27"/>
        <v>0</v>
      </c>
      <c r="AE252" s="98" t="str">
        <f t="shared" si="28"/>
        <v/>
      </c>
      <c r="AF252" s="80" t="str">
        <f t="shared" si="29"/>
        <v>AZELIS FINANCE NV 5.75 15/03/2028</v>
      </c>
    </row>
    <row r="253" spans="2:32" outlineLevel="1">
      <c r="B253" s="175" t="str">
        <f>IF(OR('Inventaire M'!D31="Dispo/Liquidité Investie",'Inventaire M'!D31="Option/Future",'Inventaire M'!D31="TCN",'Inventaire M'!D31=""),"-",'Inventaire M'!A31)</f>
        <v>XS1716945586</v>
      </c>
      <c r="C253" s="175" t="str">
        <f>IF(OR('Inventaire M'!D31="Dispo/Liquidité Investie",'Inventaire M'!D31="Option/Future",'Inventaire M'!D31="TCN",'Inventaire M'!D31=""),"-",'Inventaire M'!B31)</f>
        <v>EUROFINS SCIENTIFIC SE PERP</v>
      </c>
      <c r="D253" s="175"/>
      <c r="E253" s="175" t="e">
        <f>IF(B253="-","",INDEX('Inventaire M'!$A$2:$AW$9305,MATCH(B253,'Inventaire M'!$A:$A,0)-1,MATCH("Cours EUR",'Inventaire M'!#REF!,0)))</f>
        <v>#REF!</v>
      </c>
      <c r="F253" s="175" t="str">
        <f>IF(B253="-","",IF(ISERROR(INDEX('Inventaire M-1'!$A$2:$AZ$9320,MATCH(B253,'Inventaire M-1'!$A:$A,0)-1,MATCH("Cours EUR",'Inventaire M-1'!#REF!,0))),"Buy",INDEX('Inventaire M-1'!$A$2:$AZ$9320,MATCH(B253,'Inventaire M-1'!$A:$A,0)-1,MATCH("Cours EUR",'Inventaire M-1'!#REF!,0))))</f>
        <v>Buy</v>
      </c>
      <c r="G253" s="175"/>
      <c r="H253" s="156" t="e">
        <f>IF(B253="-","",INDEX('Inventaire M'!$A$2:$AW$9305,MATCH(B253,'Inventaire M'!$A:$A,0)-1,MATCH("quantite",'Inventaire M'!#REF!,0)))</f>
        <v>#REF!</v>
      </c>
      <c r="I253" s="156" t="str">
        <f>IF(C253="-","",IF(ISERROR(INDEX('Inventaire M-1'!$A$2:$AZ$9320,MATCH(B253,'Inventaire M-1'!$A:$A,0)-1,MATCH("quantite",'Inventaire M-1'!#REF!,0))),"Buy",INDEX('Inventaire M-1'!$A$2:$AZ$9320,MATCH(B253,'Inventaire M-1'!$A:$A,0)-1,MATCH("quantite",'Inventaire M-1'!#REF!,0))))</f>
        <v>Buy</v>
      </c>
      <c r="J253" s="175"/>
      <c r="K253" s="155" t="e">
        <f>IF(B253="-","",INDEX('Inventaire M'!$A$2:$AW$9305,MATCH(B253,'Inventaire M'!$A:$A,0)-1,MATCH("poids",'Inventaire M'!#REF!,0)))</f>
        <v>#REF!</v>
      </c>
      <c r="L253" s="155" t="str">
        <f>IF(B253="-","",IF(ISERROR(INDEX('Inventaire M-1'!$A$2:$AZ$9320,MATCH(B253,'Inventaire M-1'!$A:$A,0)-1,MATCH("poids",'Inventaire M-1'!#REF!,0))),"Buy",INDEX('Inventaire M-1'!$A$2:$AZ$9320,MATCH(B253,'Inventaire M-1'!$A:$A,0)-1,MATCH("poids",'Inventaire M-1'!#REF!,0))))</f>
        <v>Buy</v>
      </c>
      <c r="M253" s="175"/>
      <c r="N253" s="157" t="str">
        <f t="shared" si="24"/>
        <v>0</v>
      </c>
      <c r="O253" s="98" t="str">
        <f t="shared" si="25"/>
        <v/>
      </c>
      <c r="P253" s="80" t="str">
        <f t="shared" si="26"/>
        <v>EUROFINS SCIENTIFIC SE PERP</v>
      </c>
      <c r="Q253" s="75">
        <v>2.29E-8</v>
      </c>
      <c r="R253" s="175" t="str">
        <f>IF(OR('Inventaire M-1'!D6="Dispo/Liquidité Investie",'Inventaire M-1'!D6="Option/Future",'Inventaire M-1'!D6="TCN",'Inventaire M-1'!D6=""),"-",'Inventaire M-1'!A6)</f>
        <v>BE6365823044</v>
      </c>
      <c r="S253" s="175" t="str">
        <f>IF(OR('Inventaire M-1'!D6="Dispo/Liquidité Investie",'Inventaire M-1'!D6="Option/Future",'Inventaire M-1'!D6="TCN",'Inventaire M-1'!D6=""),"-",'Inventaire M-1'!B6)</f>
        <v>MANUCHAR GROUP BV 07/07/2032</v>
      </c>
      <c r="T253" s="175"/>
      <c r="U253" s="175" t="e">
        <f>IF(R253="-","",INDEX('Inventaire M-1'!$A$2:$AG$9334,MATCH(R253,'Inventaire M-1'!$A:$A,0)-1,MATCH("Cours EUR",'Inventaire M-1'!#REF!,0)))</f>
        <v>#REF!</v>
      </c>
      <c r="V253" s="175" t="str">
        <f>IF(R253="-","",IF(ISERROR(INDEX('Inventaire M'!$A$2:$AD$9319,MATCH(R253,'Inventaire M'!$A:$A,0)-1,MATCH("Cours EUR",'Inventaire M'!#REF!,0))),"Sell",INDEX('Inventaire M'!$A$2:$AD$9319,MATCH(R253,'Inventaire M'!$A:$A,0)-1,MATCH("Cours EUR",'Inventaire M'!#REF!,0))))</f>
        <v>Sell</v>
      </c>
      <c r="W253" s="175"/>
      <c r="X253" s="156" t="e">
        <f>IF(R253="-","",INDEX('Inventaire M-1'!$A$2:$AG$9334,MATCH(R253,'Inventaire M-1'!$A:$A,0)-1,MATCH("quantite",'Inventaire M-1'!#REF!,0)))</f>
        <v>#REF!</v>
      </c>
      <c r="Y253" s="156" t="str">
        <f>IF(S253="-","",IF(ISERROR(INDEX('Inventaire M'!$A$2:$AD$9319,MATCH(R253,'Inventaire M'!$A:$A,0)-1,MATCH("quantite",'Inventaire M'!#REF!,0))),"Sell",INDEX('Inventaire M'!$A$2:$AD$9319,MATCH(R253,'Inventaire M'!$A:$A,0)-1,MATCH("quantite",'Inventaire M'!#REF!,0))))</f>
        <v>Sell</v>
      </c>
      <c r="Z253" s="175"/>
      <c r="AA253" s="155" t="e">
        <f>IF(R253="-","",INDEX('Inventaire M-1'!$A$2:$AG$9334,MATCH(R253,'Inventaire M-1'!$A:$A,0)-1,MATCH("poids",'Inventaire M-1'!#REF!,0)))</f>
        <v>#REF!</v>
      </c>
      <c r="AB253" s="155" t="str">
        <f>IF(R253="-","",IF(ISERROR(INDEX('Inventaire M'!$A$2:$AD$9319,MATCH(R253,'Inventaire M'!$A:$A,0)-1,MATCH("poids",'Inventaire M'!#REF!,0))),"Sell",INDEX('Inventaire M'!$A$2:$AD$9319,MATCH(R253,'Inventaire M'!$A:$A,0)-1,MATCH("poids",'Inventaire M'!#REF!,0))))</f>
        <v>Sell</v>
      </c>
      <c r="AC253" s="175"/>
      <c r="AD253" s="157" t="str">
        <f t="shared" si="27"/>
        <v>0</v>
      </c>
      <c r="AE253" s="98" t="str">
        <f t="shared" si="28"/>
        <v/>
      </c>
      <c r="AF253" s="80" t="str">
        <f t="shared" si="29"/>
        <v>MANUCHAR GROUP BV 07/07/2032</v>
      </c>
    </row>
    <row r="254" spans="2:32" outlineLevel="1">
      <c r="B254" s="175" t="str">
        <f>IF(OR('Inventaire M'!D32="Dispo/Liquidité Investie",'Inventaire M'!D32="Option/Future",'Inventaire M'!D32="TCN",'Inventaire M'!D32=""),"-",'Inventaire M'!A32)</f>
        <v>XS2010028004</v>
      </c>
      <c r="C254" s="175" t="str">
        <f>IF(OR('Inventaire M'!D32="Dispo/Liquidité Investie",'Inventaire M'!D32="Option/Future",'Inventaire M'!D32="TCN",'Inventaire M'!D32=""),"-",'Inventaire M'!B32)</f>
        <v>INPOST SA 2.25 15/07/2027</v>
      </c>
      <c r="D254" s="175"/>
      <c r="E254" s="175" t="e">
        <f>IF(B254="-","",INDEX('Inventaire M'!$A$2:$AW$9305,MATCH(B254,'Inventaire M'!$A:$A,0)-1,MATCH("Cours EUR",'Inventaire M'!#REF!,0)))</f>
        <v>#REF!</v>
      </c>
      <c r="F254" s="175" t="str">
        <f>IF(B254="-","",IF(ISERROR(INDEX('Inventaire M-1'!$A$2:$AZ$9320,MATCH(B254,'Inventaire M-1'!$A:$A,0)-1,MATCH("Cours EUR",'Inventaire M-1'!#REF!,0))),"Buy",INDEX('Inventaire M-1'!$A$2:$AZ$9320,MATCH(B254,'Inventaire M-1'!$A:$A,0)-1,MATCH("Cours EUR",'Inventaire M-1'!#REF!,0))))</f>
        <v>Buy</v>
      </c>
      <c r="G254" s="175"/>
      <c r="H254" s="156" t="e">
        <f>IF(B254="-","",INDEX('Inventaire M'!$A$2:$AW$9305,MATCH(B254,'Inventaire M'!$A:$A,0)-1,MATCH("quantite",'Inventaire M'!#REF!,0)))</f>
        <v>#REF!</v>
      </c>
      <c r="I254" s="156" t="str">
        <f>IF(C254="-","",IF(ISERROR(INDEX('Inventaire M-1'!$A$2:$AZ$9320,MATCH(B254,'Inventaire M-1'!$A:$A,0)-1,MATCH("quantite",'Inventaire M-1'!#REF!,0))),"Buy",INDEX('Inventaire M-1'!$A$2:$AZ$9320,MATCH(B254,'Inventaire M-1'!$A:$A,0)-1,MATCH("quantite",'Inventaire M-1'!#REF!,0))))</f>
        <v>Buy</v>
      </c>
      <c r="J254" s="175"/>
      <c r="K254" s="155" t="e">
        <f>IF(B254="-","",INDEX('Inventaire M'!$A$2:$AW$9305,MATCH(B254,'Inventaire M'!$A:$A,0)-1,MATCH("poids",'Inventaire M'!#REF!,0)))</f>
        <v>#REF!</v>
      </c>
      <c r="L254" s="155" t="str">
        <f>IF(B254="-","",IF(ISERROR(INDEX('Inventaire M-1'!$A$2:$AZ$9320,MATCH(B254,'Inventaire M-1'!$A:$A,0)-1,MATCH("poids",'Inventaire M-1'!#REF!,0))),"Buy",INDEX('Inventaire M-1'!$A$2:$AZ$9320,MATCH(B254,'Inventaire M-1'!$A:$A,0)-1,MATCH("poids",'Inventaire M-1'!#REF!,0))))</f>
        <v>Buy</v>
      </c>
      <c r="M254" s="175"/>
      <c r="N254" s="157" t="str">
        <f t="shared" si="24"/>
        <v>0</v>
      </c>
      <c r="O254" s="98" t="str">
        <f t="shared" si="25"/>
        <v/>
      </c>
      <c r="P254" s="80" t="str">
        <f t="shared" si="26"/>
        <v>INPOST SA 2.25 15/07/2027</v>
      </c>
      <c r="Q254" s="75">
        <v>2.3000000000000001E-8</v>
      </c>
      <c r="R254" s="175" t="str">
        <f>IF(OR('Inventaire M-1'!D7="Dispo/Liquidité Investie",'Inventaire M-1'!D7="Option/Future",'Inventaire M-1'!D7="TCN",'Inventaire M-1'!D7=""),"-",'Inventaire M-1'!A7)</f>
        <v>DE000A3E5WW4</v>
      </c>
      <c r="S254" s="175" t="str">
        <f>IF(OR('Inventaire M-1'!D7="Dispo/Liquidité Investie",'Inventaire M-1'!D7="Option/Future",'Inventaire M-1'!D7="TCN",'Inventaire M-1'!D7=""),"-",'Inventaire M-1'!B7)</f>
        <v>EVONIK INDUSTRIES AG 02/09/2081</v>
      </c>
      <c r="T254" s="175"/>
      <c r="U254" s="175" t="e">
        <f>IF(R254="-","",INDEX('Inventaire M-1'!$A$2:$AG$9334,MATCH(R254,'Inventaire M-1'!$A:$A,0)-1,MATCH("Cours EUR",'Inventaire M-1'!#REF!,0)))</f>
        <v>#REF!</v>
      </c>
      <c r="V254" s="175" t="str">
        <f>IF(R254="-","",IF(ISERROR(INDEX('Inventaire M'!$A$2:$AD$9319,MATCH(R254,'Inventaire M'!$A:$A,0)-1,MATCH("Cours EUR",'Inventaire M'!#REF!,0))),"Sell",INDEX('Inventaire M'!$A$2:$AD$9319,MATCH(R254,'Inventaire M'!$A:$A,0)-1,MATCH("Cours EUR",'Inventaire M'!#REF!,0))))</f>
        <v>Sell</v>
      </c>
      <c r="W254" s="175"/>
      <c r="X254" s="156" t="e">
        <f>IF(R254="-","",INDEX('Inventaire M-1'!$A$2:$AG$9334,MATCH(R254,'Inventaire M-1'!$A:$A,0)-1,MATCH("quantite",'Inventaire M-1'!#REF!,0)))</f>
        <v>#REF!</v>
      </c>
      <c r="Y254" s="156" t="str">
        <f>IF(S254="-","",IF(ISERROR(INDEX('Inventaire M'!$A$2:$AD$9319,MATCH(R254,'Inventaire M'!$A:$A,0)-1,MATCH("quantite",'Inventaire M'!#REF!,0))),"Sell",INDEX('Inventaire M'!$A$2:$AD$9319,MATCH(R254,'Inventaire M'!$A:$A,0)-1,MATCH("quantite",'Inventaire M'!#REF!,0))))</f>
        <v>Sell</v>
      </c>
      <c r="Z254" s="175"/>
      <c r="AA254" s="155" t="e">
        <f>IF(R254="-","",INDEX('Inventaire M-1'!$A$2:$AG$9334,MATCH(R254,'Inventaire M-1'!$A:$A,0)-1,MATCH("poids",'Inventaire M-1'!#REF!,0)))</f>
        <v>#REF!</v>
      </c>
      <c r="AB254" s="155" t="str">
        <f>IF(R254="-","",IF(ISERROR(INDEX('Inventaire M'!$A$2:$AD$9319,MATCH(R254,'Inventaire M'!$A:$A,0)-1,MATCH("poids",'Inventaire M'!#REF!,0))),"Sell",INDEX('Inventaire M'!$A$2:$AD$9319,MATCH(R254,'Inventaire M'!$A:$A,0)-1,MATCH("poids",'Inventaire M'!#REF!,0))))</f>
        <v>Sell</v>
      </c>
      <c r="AC254" s="175"/>
      <c r="AD254" s="157" t="str">
        <f t="shared" si="27"/>
        <v>0</v>
      </c>
      <c r="AE254" s="98" t="str">
        <f t="shared" si="28"/>
        <v/>
      </c>
      <c r="AF254" s="80" t="str">
        <f t="shared" si="29"/>
        <v>EVONIK INDUSTRIES AG 02/09/2081</v>
      </c>
    </row>
    <row r="255" spans="2:32" outlineLevel="1">
      <c r="B255" s="175" t="str">
        <f>IF(OR('Inventaire M'!D33="Dispo/Liquidité Investie",'Inventaire M'!D33="Option/Future",'Inventaire M'!D33="TCN",'Inventaire M'!D33=""),"-",'Inventaire M'!A33)</f>
        <v>XS2053846262</v>
      </c>
      <c r="C255" s="175" t="str">
        <f>IF(OR('Inventaire M'!D33="Dispo/Liquidité Investie",'Inventaire M'!D33="Option/Future",'Inventaire M'!D33="TCN",'Inventaire M'!D33=""),"-",'Inventaire M'!B33)</f>
        <v>ALTICE FRANCE SA (FRANCE) 3.375 15/01/2028</v>
      </c>
      <c r="D255" s="175"/>
      <c r="E255" s="175" t="e">
        <f>IF(B255="-","",INDEX('Inventaire M'!$A$2:$AW$9305,MATCH(B255,'Inventaire M'!$A:$A,0)-1,MATCH("Cours EUR",'Inventaire M'!#REF!,0)))</f>
        <v>#REF!</v>
      </c>
      <c r="F255" s="175" t="str">
        <f>IF(B255="-","",IF(ISERROR(INDEX('Inventaire M-1'!$A$2:$AZ$9320,MATCH(B255,'Inventaire M-1'!$A:$A,0)-1,MATCH("Cours EUR",'Inventaire M-1'!#REF!,0))),"Buy",INDEX('Inventaire M-1'!$A$2:$AZ$9320,MATCH(B255,'Inventaire M-1'!$A:$A,0)-1,MATCH("Cours EUR",'Inventaire M-1'!#REF!,0))))</f>
        <v>Buy</v>
      </c>
      <c r="G255" s="175"/>
      <c r="H255" s="156" t="e">
        <f>IF(B255="-","",INDEX('Inventaire M'!$A$2:$AW$9305,MATCH(B255,'Inventaire M'!$A:$A,0)-1,MATCH("quantite",'Inventaire M'!#REF!,0)))</f>
        <v>#REF!</v>
      </c>
      <c r="I255" s="156" t="str">
        <f>IF(C255="-","",IF(ISERROR(INDEX('Inventaire M-1'!$A$2:$AZ$9320,MATCH(B255,'Inventaire M-1'!$A:$A,0)-1,MATCH("quantite",'Inventaire M-1'!#REF!,0))),"Buy",INDEX('Inventaire M-1'!$A$2:$AZ$9320,MATCH(B255,'Inventaire M-1'!$A:$A,0)-1,MATCH("quantite",'Inventaire M-1'!#REF!,0))))</f>
        <v>Buy</v>
      </c>
      <c r="J255" s="175"/>
      <c r="K255" s="155" t="e">
        <f>IF(B255="-","",INDEX('Inventaire M'!$A$2:$AW$9305,MATCH(B255,'Inventaire M'!$A:$A,0)-1,MATCH("poids",'Inventaire M'!#REF!,0)))</f>
        <v>#REF!</v>
      </c>
      <c r="L255" s="155" t="str">
        <f>IF(B255="-","",IF(ISERROR(INDEX('Inventaire M-1'!$A$2:$AZ$9320,MATCH(B255,'Inventaire M-1'!$A:$A,0)-1,MATCH("poids",'Inventaire M-1'!#REF!,0))),"Buy",INDEX('Inventaire M-1'!$A$2:$AZ$9320,MATCH(B255,'Inventaire M-1'!$A:$A,0)-1,MATCH("poids",'Inventaire M-1'!#REF!,0))))</f>
        <v>Buy</v>
      </c>
      <c r="M255" s="175"/>
      <c r="N255" s="157" t="str">
        <f t="shared" si="24"/>
        <v>0</v>
      </c>
      <c r="O255" s="98" t="str">
        <f t="shared" si="25"/>
        <v/>
      </c>
      <c r="P255" s="80" t="str">
        <f t="shared" si="26"/>
        <v>ALTICE FRANCE SA (FRANCE) 3.375 15/01/2028</v>
      </c>
      <c r="Q255" s="75">
        <v>2.3099999999999998E-8</v>
      </c>
      <c r="R255" s="175" t="str">
        <f>IF(OR('Inventaire M-1'!D8="Dispo/Liquidité Investie",'Inventaire M-1'!D8="Option/Future",'Inventaire M-1'!D8="TCN",'Inventaire M-1'!D8=""),"-",'Inventaire M-1'!A8)</f>
        <v>DE000A4DFLQ6</v>
      </c>
      <c r="S255" s="175" t="str">
        <f>IF(OR('Inventaire M-1'!D8="Dispo/Liquidité Investie",'Inventaire M-1'!D8="Option/Future",'Inventaire M-1'!D8="TCN",'Inventaire M-1'!D8=""),"-",'Inventaire M-1'!B8)</f>
        <v>SCHAEFFLER AG 5.375 01/04/2031</v>
      </c>
      <c r="T255" s="175"/>
      <c r="U255" s="175" t="e">
        <f>IF(R255="-","",INDEX('Inventaire M-1'!$A$2:$AG$9334,MATCH(R255,'Inventaire M-1'!$A:$A,0)-1,MATCH("Cours EUR",'Inventaire M-1'!#REF!,0)))</f>
        <v>#REF!</v>
      </c>
      <c r="V255" s="175" t="str">
        <f>IF(R255="-","",IF(ISERROR(INDEX('Inventaire M'!$A$2:$AD$9319,MATCH(R255,'Inventaire M'!$A:$A,0)-1,MATCH("Cours EUR",'Inventaire M'!#REF!,0))),"Sell",INDEX('Inventaire M'!$A$2:$AD$9319,MATCH(R255,'Inventaire M'!$A:$A,0)-1,MATCH("Cours EUR",'Inventaire M'!#REF!,0))))</f>
        <v>Sell</v>
      </c>
      <c r="W255" s="175"/>
      <c r="X255" s="156" t="e">
        <f>IF(R255="-","",INDEX('Inventaire M-1'!$A$2:$AG$9334,MATCH(R255,'Inventaire M-1'!$A:$A,0)-1,MATCH("quantite",'Inventaire M-1'!#REF!,0)))</f>
        <v>#REF!</v>
      </c>
      <c r="Y255" s="156" t="str">
        <f>IF(S255="-","",IF(ISERROR(INDEX('Inventaire M'!$A$2:$AD$9319,MATCH(R255,'Inventaire M'!$A:$A,0)-1,MATCH("quantite",'Inventaire M'!#REF!,0))),"Sell",INDEX('Inventaire M'!$A$2:$AD$9319,MATCH(R255,'Inventaire M'!$A:$A,0)-1,MATCH("quantite",'Inventaire M'!#REF!,0))))</f>
        <v>Sell</v>
      </c>
      <c r="Z255" s="175"/>
      <c r="AA255" s="155" t="e">
        <f>IF(R255="-","",INDEX('Inventaire M-1'!$A$2:$AG$9334,MATCH(R255,'Inventaire M-1'!$A:$A,0)-1,MATCH("poids",'Inventaire M-1'!#REF!,0)))</f>
        <v>#REF!</v>
      </c>
      <c r="AB255" s="155" t="str">
        <f>IF(R255="-","",IF(ISERROR(INDEX('Inventaire M'!$A$2:$AD$9319,MATCH(R255,'Inventaire M'!$A:$A,0)-1,MATCH("poids",'Inventaire M'!#REF!,0))),"Sell",INDEX('Inventaire M'!$A$2:$AD$9319,MATCH(R255,'Inventaire M'!$A:$A,0)-1,MATCH("poids",'Inventaire M'!#REF!,0))))</f>
        <v>Sell</v>
      </c>
      <c r="AC255" s="175"/>
      <c r="AD255" s="157" t="str">
        <f t="shared" si="27"/>
        <v>0</v>
      </c>
      <c r="AE255" s="98" t="str">
        <f t="shared" si="28"/>
        <v/>
      </c>
      <c r="AF255" s="80" t="str">
        <f t="shared" si="29"/>
        <v>SCHAEFFLER AG 5.375 01/04/2031</v>
      </c>
    </row>
    <row r="256" spans="2:32" outlineLevel="1">
      <c r="B256" s="175" t="str">
        <f>IF(OR('Inventaire M'!D34="Dispo/Liquidité Investie",'Inventaire M'!D34="Option/Future",'Inventaire M'!D34="TCN",'Inventaire M'!D34=""),"-",'Inventaire M'!A34)</f>
        <v>XS2056730679</v>
      </c>
      <c r="C256" s="175" t="str">
        <f>IF(OR('Inventaire M'!D34="Dispo/Liquidité Investie",'Inventaire M'!D34="Option/Future",'Inventaire M'!D34="TCN",'Inventaire M'!D34=""),"-",'Inventaire M'!B34)</f>
        <v>INFINEON TECHNOLOGIES AG PERP</v>
      </c>
      <c r="D256" s="175"/>
      <c r="E256" s="175" t="e">
        <f>IF(B256="-","",INDEX('Inventaire M'!$A$2:$AW$9305,MATCH(B256,'Inventaire M'!$A:$A,0)-1,MATCH("Cours EUR",'Inventaire M'!#REF!,0)))</f>
        <v>#REF!</v>
      </c>
      <c r="F256" s="175" t="str">
        <f>IF(B256="-","",IF(ISERROR(INDEX('Inventaire M-1'!$A$2:$AZ$9320,MATCH(B256,'Inventaire M-1'!$A:$A,0)-1,MATCH("Cours EUR",'Inventaire M-1'!#REF!,0))),"Buy",INDEX('Inventaire M-1'!$A$2:$AZ$9320,MATCH(B256,'Inventaire M-1'!$A:$A,0)-1,MATCH("Cours EUR",'Inventaire M-1'!#REF!,0))))</f>
        <v>Buy</v>
      </c>
      <c r="G256" s="175"/>
      <c r="H256" s="156" t="e">
        <f>IF(B256="-","",INDEX('Inventaire M'!$A$2:$AW$9305,MATCH(B256,'Inventaire M'!$A:$A,0)-1,MATCH("quantite",'Inventaire M'!#REF!,0)))</f>
        <v>#REF!</v>
      </c>
      <c r="I256" s="156" t="str">
        <f>IF(C256="-","",IF(ISERROR(INDEX('Inventaire M-1'!$A$2:$AZ$9320,MATCH(B256,'Inventaire M-1'!$A:$A,0)-1,MATCH("quantite",'Inventaire M-1'!#REF!,0))),"Buy",INDEX('Inventaire M-1'!$A$2:$AZ$9320,MATCH(B256,'Inventaire M-1'!$A:$A,0)-1,MATCH("quantite",'Inventaire M-1'!#REF!,0))))</f>
        <v>Buy</v>
      </c>
      <c r="J256" s="175"/>
      <c r="K256" s="155" t="e">
        <f>IF(B256="-","",INDEX('Inventaire M'!$A$2:$AW$9305,MATCH(B256,'Inventaire M'!$A:$A,0)-1,MATCH("poids",'Inventaire M'!#REF!,0)))</f>
        <v>#REF!</v>
      </c>
      <c r="L256" s="155" t="str">
        <f>IF(B256="-","",IF(ISERROR(INDEX('Inventaire M-1'!$A$2:$AZ$9320,MATCH(B256,'Inventaire M-1'!$A:$A,0)-1,MATCH("poids",'Inventaire M-1'!#REF!,0))),"Buy",INDEX('Inventaire M-1'!$A$2:$AZ$9320,MATCH(B256,'Inventaire M-1'!$A:$A,0)-1,MATCH("poids",'Inventaire M-1'!#REF!,0))))</f>
        <v>Buy</v>
      </c>
      <c r="M256" s="175"/>
      <c r="N256" s="157" t="str">
        <f t="shared" si="24"/>
        <v>0</v>
      </c>
      <c r="O256" s="98" t="str">
        <f t="shared" si="25"/>
        <v/>
      </c>
      <c r="P256" s="80" t="str">
        <f t="shared" si="26"/>
        <v>INFINEON TECHNOLOGIES AG PERP</v>
      </c>
      <c r="Q256" s="75">
        <v>2.3199999999999999E-8</v>
      </c>
      <c r="R256" s="175" t="str">
        <f>IF(OR('Inventaire M-1'!D9="Dispo/Liquidité Investie",'Inventaire M-1'!D9="Option/Future",'Inventaire M-1'!D9="TCN",'Inventaire M-1'!D9=""),"-",'Inventaire M-1'!A9)</f>
        <v>FR0000008997</v>
      </c>
      <c r="S256" s="175" t="str">
        <f>IF(OR('Inventaire M-1'!D9="Dispo/Liquidité Investie",'Inventaire M-1'!D9="Option/Future",'Inventaire M-1'!D9="TCN",'Inventaire M-1'!D9=""),"-",'Inventaire M-1'!B9)</f>
        <v>Ofi Invest ESG Liquidités PART C/D</v>
      </c>
      <c r="T256" s="175"/>
      <c r="U256" s="175" t="e">
        <f>IF(R256="-","",INDEX('Inventaire M-1'!$A$2:$AG$9334,MATCH(R256,'Inventaire M-1'!$A:$A,0)-1,MATCH("Cours EUR",'Inventaire M-1'!#REF!,0)))</f>
        <v>#REF!</v>
      </c>
      <c r="V256" s="175" t="str">
        <f>IF(R256="-","",IF(ISERROR(INDEX('Inventaire M'!$A$2:$AD$9319,MATCH(R256,'Inventaire M'!$A:$A,0)-1,MATCH("Cours EUR",'Inventaire M'!#REF!,0))),"Sell",INDEX('Inventaire M'!$A$2:$AD$9319,MATCH(R256,'Inventaire M'!$A:$A,0)-1,MATCH("Cours EUR",'Inventaire M'!#REF!,0))))</f>
        <v>Sell</v>
      </c>
      <c r="W256" s="175"/>
      <c r="X256" s="156" t="e">
        <f>IF(R256="-","",INDEX('Inventaire M-1'!$A$2:$AG$9334,MATCH(R256,'Inventaire M-1'!$A:$A,0)-1,MATCH("quantite",'Inventaire M-1'!#REF!,0)))</f>
        <v>#REF!</v>
      </c>
      <c r="Y256" s="156" t="str">
        <f>IF(S256="-","",IF(ISERROR(INDEX('Inventaire M'!$A$2:$AD$9319,MATCH(R256,'Inventaire M'!$A:$A,0)-1,MATCH("quantite",'Inventaire M'!#REF!,0))),"Sell",INDEX('Inventaire M'!$A$2:$AD$9319,MATCH(R256,'Inventaire M'!$A:$A,0)-1,MATCH("quantite",'Inventaire M'!#REF!,0))))</f>
        <v>Sell</v>
      </c>
      <c r="Z256" s="175"/>
      <c r="AA256" s="155" t="e">
        <f>IF(R256="-","",INDEX('Inventaire M-1'!$A$2:$AG$9334,MATCH(R256,'Inventaire M-1'!$A:$A,0)-1,MATCH("poids",'Inventaire M-1'!#REF!,0)))</f>
        <v>#REF!</v>
      </c>
      <c r="AB256" s="155" t="str">
        <f>IF(R256="-","",IF(ISERROR(INDEX('Inventaire M'!$A$2:$AD$9319,MATCH(R256,'Inventaire M'!$A:$A,0)-1,MATCH("poids",'Inventaire M'!#REF!,0))),"Sell",INDEX('Inventaire M'!$A$2:$AD$9319,MATCH(R256,'Inventaire M'!$A:$A,0)-1,MATCH("poids",'Inventaire M'!#REF!,0))))</f>
        <v>Sell</v>
      </c>
      <c r="AC256" s="175"/>
      <c r="AD256" s="157" t="str">
        <f t="shared" si="27"/>
        <v>0</v>
      </c>
      <c r="AE256" s="98" t="str">
        <f t="shared" si="28"/>
        <v/>
      </c>
      <c r="AF256" s="80" t="str">
        <f t="shared" si="29"/>
        <v>Ofi Invest ESG Liquidités PART C/D</v>
      </c>
    </row>
    <row r="257" spans="2:32" outlineLevel="1">
      <c r="B257" s="175" t="str">
        <f>IF(OR('Inventaire M'!D35="Dispo/Liquidité Investie",'Inventaire M'!D35="Option/Future",'Inventaire M'!D35="TCN",'Inventaire M'!D35=""),"-",'Inventaire M'!A35)</f>
        <v>XS2103218538</v>
      </c>
      <c r="C257" s="175" t="str">
        <f>IF(OR('Inventaire M'!D35="Dispo/Liquidité Investie",'Inventaire M'!D35="Option/Future",'Inventaire M'!D35="TCN",'Inventaire M'!D35=""),"-",'Inventaire M'!B35)</f>
        <v>ASHLAND SERVICES B.V. 2 30/01/2028</v>
      </c>
      <c r="D257" s="175"/>
      <c r="E257" s="175" t="e">
        <f>IF(B257="-","",INDEX('Inventaire M'!$A$2:$AW$9305,MATCH(B257,'Inventaire M'!$A:$A,0)-1,MATCH("Cours EUR",'Inventaire M'!#REF!,0)))</f>
        <v>#REF!</v>
      </c>
      <c r="F257" s="175" t="str">
        <f>IF(B257="-","",IF(ISERROR(INDEX('Inventaire M-1'!$A$2:$AZ$9320,MATCH(B257,'Inventaire M-1'!$A:$A,0)-1,MATCH("Cours EUR",'Inventaire M-1'!#REF!,0))),"Buy",INDEX('Inventaire M-1'!$A$2:$AZ$9320,MATCH(B257,'Inventaire M-1'!$A:$A,0)-1,MATCH("Cours EUR",'Inventaire M-1'!#REF!,0))))</f>
        <v>Buy</v>
      </c>
      <c r="G257" s="175"/>
      <c r="H257" s="156" t="e">
        <f>IF(B257="-","",INDEX('Inventaire M'!$A$2:$AW$9305,MATCH(B257,'Inventaire M'!$A:$A,0)-1,MATCH("quantite",'Inventaire M'!#REF!,0)))</f>
        <v>#REF!</v>
      </c>
      <c r="I257" s="156" t="str">
        <f>IF(C257="-","",IF(ISERROR(INDEX('Inventaire M-1'!$A$2:$AZ$9320,MATCH(B257,'Inventaire M-1'!$A:$A,0)-1,MATCH("quantite",'Inventaire M-1'!#REF!,0))),"Buy",INDEX('Inventaire M-1'!$A$2:$AZ$9320,MATCH(B257,'Inventaire M-1'!$A:$A,0)-1,MATCH("quantite",'Inventaire M-1'!#REF!,0))))</f>
        <v>Buy</v>
      </c>
      <c r="J257" s="175"/>
      <c r="K257" s="155" t="e">
        <f>IF(B257="-","",INDEX('Inventaire M'!$A$2:$AW$9305,MATCH(B257,'Inventaire M'!$A:$A,0)-1,MATCH("poids",'Inventaire M'!#REF!,0)))</f>
        <v>#REF!</v>
      </c>
      <c r="L257" s="155" t="str">
        <f>IF(B257="-","",IF(ISERROR(INDEX('Inventaire M-1'!$A$2:$AZ$9320,MATCH(B257,'Inventaire M-1'!$A:$A,0)-1,MATCH("poids",'Inventaire M-1'!#REF!,0))),"Buy",INDEX('Inventaire M-1'!$A$2:$AZ$9320,MATCH(B257,'Inventaire M-1'!$A:$A,0)-1,MATCH("poids",'Inventaire M-1'!#REF!,0))))</f>
        <v>Buy</v>
      </c>
      <c r="M257" s="175"/>
      <c r="N257" s="157" t="str">
        <f t="shared" si="24"/>
        <v>0</v>
      </c>
      <c r="O257" s="98" t="str">
        <f t="shared" si="25"/>
        <v/>
      </c>
      <c r="P257" s="80" t="str">
        <f t="shared" si="26"/>
        <v>ASHLAND SERVICES B.V. 2 30/01/2028</v>
      </c>
      <c r="Q257" s="75">
        <v>2.33E-8</v>
      </c>
      <c r="R257" s="175" t="str">
        <f>IF(OR('Inventaire M-1'!D10="Dispo/Liquidité Investie",'Inventaire M-1'!D10="Option/Future",'Inventaire M-1'!D10="TCN",'Inventaire M-1'!D10=""),"-",'Inventaire M-1'!A10)</f>
        <v>FR0013330537</v>
      </c>
      <c r="S257" s="175" t="str">
        <f>IF(OR('Inventaire M-1'!D10="Dispo/Liquidité Investie",'Inventaire M-1'!D10="Option/Future",'Inventaire M-1'!D10="TCN",'Inventaire M-1'!D10=""),"-",'Inventaire M-1'!B10)</f>
        <v>UNIBAIL-RODAMCO-WESTFIELD SE PERP</v>
      </c>
      <c r="T257" s="175"/>
      <c r="U257" s="175" t="e">
        <f>IF(R257="-","",INDEX('Inventaire M-1'!$A$2:$AG$9334,MATCH(R257,'Inventaire M-1'!$A:$A,0)-1,MATCH("Cours EUR",'Inventaire M-1'!#REF!,0)))</f>
        <v>#REF!</v>
      </c>
      <c r="V257" s="175" t="str">
        <f>IF(R257="-","",IF(ISERROR(INDEX('Inventaire M'!$A$2:$AD$9319,MATCH(R257,'Inventaire M'!$A:$A,0)-1,MATCH("Cours EUR",'Inventaire M'!#REF!,0))),"Sell",INDEX('Inventaire M'!$A$2:$AD$9319,MATCH(R257,'Inventaire M'!$A:$A,0)-1,MATCH("Cours EUR",'Inventaire M'!#REF!,0))))</f>
        <v>Sell</v>
      </c>
      <c r="W257" s="175"/>
      <c r="X257" s="156" t="e">
        <f>IF(R257="-","",INDEX('Inventaire M-1'!$A$2:$AG$9334,MATCH(R257,'Inventaire M-1'!$A:$A,0)-1,MATCH("quantite",'Inventaire M-1'!#REF!,0)))</f>
        <v>#REF!</v>
      </c>
      <c r="Y257" s="156" t="str">
        <f>IF(S257="-","",IF(ISERROR(INDEX('Inventaire M'!$A$2:$AD$9319,MATCH(R257,'Inventaire M'!$A:$A,0)-1,MATCH("quantite",'Inventaire M'!#REF!,0))),"Sell",INDEX('Inventaire M'!$A$2:$AD$9319,MATCH(R257,'Inventaire M'!$A:$A,0)-1,MATCH("quantite",'Inventaire M'!#REF!,0))))</f>
        <v>Sell</v>
      </c>
      <c r="Z257" s="175"/>
      <c r="AA257" s="155" t="e">
        <f>IF(R257="-","",INDEX('Inventaire M-1'!$A$2:$AG$9334,MATCH(R257,'Inventaire M-1'!$A:$A,0)-1,MATCH("poids",'Inventaire M-1'!#REF!,0)))</f>
        <v>#REF!</v>
      </c>
      <c r="AB257" s="155" t="str">
        <f>IF(R257="-","",IF(ISERROR(INDEX('Inventaire M'!$A$2:$AD$9319,MATCH(R257,'Inventaire M'!$A:$A,0)-1,MATCH("poids",'Inventaire M'!#REF!,0))),"Sell",INDEX('Inventaire M'!$A$2:$AD$9319,MATCH(R257,'Inventaire M'!$A:$A,0)-1,MATCH("poids",'Inventaire M'!#REF!,0))))</f>
        <v>Sell</v>
      </c>
      <c r="AC257" s="175"/>
      <c r="AD257" s="157" t="str">
        <f t="shared" si="27"/>
        <v>0</v>
      </c>
      <c r="AE257" s="98" t="str">
        <f t="shared" si="28"/>
        <v/>
      </c>
      <c r="AF257" s="80" t="str">
        <f t="shared" si="29"/>
        <v>UNIBAIL-RODAMCO-WESTFIELD SE PERP</v>
      </c>
    </row>
    <row r="258" spans="2:32" outlineLevel="1">
      <c r="B258" s="175" t="str">
        <f>IF(OR('Inventaire M'!D36="Dispo/Liquidité Investie",'Inventaire M'!D36="Option/Future",'Inventaire M'!D36="TCN",'Inventaire M'!D36=""),"-",'Inventaire M'!A36)</f>
        <v>XS2111944133</v>
      </c>
      <c r="C258" s="175" t="str">
        <f>IF(OR('Inventaire M'!D36="Dispo/Liquidité Investie",'Inventaire M'!D36="Option/Future",'Inventaire M'!D36="TCN",'Inventaire M'!D36=""),"-",'Inventaire M'!B36)</f>
        <v>ARENA LUXEMBOURG FINANCE SARL 1.875 01/02/2028</v>
      </c>
      <c r="D258" s="175"/>
      <c r="E258" s="175" t="e">
        <f>IF(B258="-","",INDEX('Inventaire M'!$A$2:$AW$9305,MATCH(B258,'Inventaire M'!$A:$A,0)-1,MATCH("Cours EUR",'Inventaire M'!#REF!,0)))</f>
        <v>#REF!</v>
      </c>
      <c r="F258" s="175" t="str">
        <f>IF(B258="-","",IF(ISERROR(INDEX('Inventaire M-1'!$A$2:$AZ$9320,MATCH(B258,'Inventaire M-1'!$A:$A,0)-1,MATCH("Cours EUR",'Inventaire M-1'!#REF!,0))),"Buy",INDEX('Inventaire M-1'!$A$2:$AZ$9320,MATCH(B258,'Inventaire M-1'!$A:$A,0)-1,MATCH("Cours EUR",'Inventaire M-1'!#REF!,0))))</f>
        <v>Buy</v>
      </c>
      <c r="G258" s="175"/>
      <c r="H258" s="156" t="e">
        <f>IF(B258="-","",INDEX('Inventaire M'!$A$2:$AW$9305,MATCH(B258,'Inventaire M'!$A:$A,0)-1,MATCH("quantite",'Inventaire M'!#REF!,0)))</f>
        <v>#REF!</v>
      </c>
      <c r="I258" s="156" t="str">
        <f>IF(C258="-","",IF(ISERROR(INDEX('Inventaire M-1'!$A$2:$AZ$9320,MATCH(B258,'Inventaire M-1'!$A:$A,0)-1,MATCH("quantite",'Inventaire M-1'!#REF!,0))),"Buy",INDEX('Inventaire M-1'!$A$2:$AZ$9320,MATCH(B258,'Inventaire M-1'!$A:$A,0)-1,MATCH("quantite",'Inventaire M-1'!#REF!,0))))</f>
        <v>Buy</v>
      </c>
      <c r="J258" s="175"/>
      <c r="K258" s="155" t="e">
        <f>IF(B258="-","",INDEX('Inventaire M'!$A$2:$AW$9305,MATCH(B258,'Inventaire M'!$A:$A,0)-1,MATCH("poids",'Inventaire M'!#REF!,0)))</f>
        <v>#REF!</v>
      </c>
      <c r="L258" s="155" t="str">
        <f>IF(B258="-","",IF(ISERROR(INDEX('Inventaire M-1'!$A$2:$AZ$9320,MATCH(B258,'Inventaire M-1'!$A:$A,0)-1,MATCH("poids",'Inventaire M-1'!#REF!,0))),"Buy",INDEX('Inventaire M-1'!$A$2:$AZ$9320,MATCH(B258,'Inventaire M-1'!$A:$A,0)-1,MATCH("poids",'Inventaire M-1'!#REF!,0))))</f>
        <v>Buy</v>
      </c>
      <c r="M258" s="175"/>
      <c r="N258" s="157" t="str">
        <f t="shared" si="24"/>
        <v>0</v>
      </c>
      <c r="O258" s="98" t="str">
        <f t="shared" si="25"/>
        <v/>
      </c>
      <c r="P258" s="80" t="str">
        <f t="shared" si="26"/>
        <v>ARENA LUXEMBOURG FINANCE SARL 1.875 01/02/2028</v>
      </c>
      <c r="Q258" s="75">
        <v>2.3400000000000001E-8</v>
      </c>
      <c r="R258" s="175" t="str">
        <f>IF(OR('Inventaire M-1'!D11="Dispo/Liquidité Investie",'Inventaire M-1'!D11="Option/Future",'Inventaire M-1'!D11="TCN",'Inventaire M-1'!D11=""),"-",'Inventaire M-1'!A11)</f>
        <v>FR0013478252</v>
      </c>
      <c r="S258" s="175" t="str">
        <f>IF(OR('Inventaire M-1'!D11="Dispo/Liquidité Investie",'Inventaire M-1'!D11="Option/Future",'Inventaire M-1'!D11="TCN",'Inventaire M-1'!D11=""),"-",'Inventaire M-1'!B11)</f>
        <v>ARKEMA SA PERP</v>
      </c>
      <c r="T258" s="175"/>
      <c r="U258" s="175" t="e">
        <f>IF(R258="-","",INDEX('Inventaire M-1'!$A$2:$AG$9334,MATCH(R258,'Inventaire M-1'!$A:$A,0)-1,MATCH("Cours EUR",'Inventaire M-1'!#REF!,0)))</f>
        <v>#REF!</v>
      </c>
      <c r="V258" s="175" t="str">
        <f>IF(R258="-","",IF(ISERROR(INDEX('Inventaire M'!$A$2:$AD$9319,MATCH(R258,'Inventaire M'!$A:$A,0)-1,MATCH("Cours EUR",'Inventaire M'!#REF!,0))),"Sell",INDEX('Inventaire M'!$A$2:$AD$9319,MATCH(R258,'Inventaire M'!$A:$A,0)-1,MATCH("Cours EUR",'Inventaire M'!#REF!,0))))</f>
        <v>Sell</v>
      </c>
      <c r="W258" s="175"/>
      <c r="X258" s="156" t="e">
        <f>IF(R258="-","",INDEX('Inventaire M-1'!$A$2:$AG$9334,MATCH(R258,'Inventaire M-1'!$A:$A,0)-1,MATCH("quantite",'Inventaire M-1'!#REF!,0)))</f>
        <v>#REF!</v>
      </c>
      <c r="Y258" s="156" t="str">
        <f>IF(S258="-","",IF(ISERROR(INDEX('Inventaire M'!$A$2:$AD$9319,MATCH(R258,'Inventaire M'!$A:$A,0)-1,MATCH("quantite",'Inventaire M'!#REF!,0))),"Sell",INDEX('Inventaire M'!$A$2:$AD$9319,MATCH(R258,'Inventaire M'!$A:$A,0)-1,MATCH("quantite",'Inventaire M'!#REF!,0))))</f>
        <v>Sell</v>
      </c>
      <c r="Z258" s="175"/>
      <c r="AA258" s="155" t="e">
        <f>IF(R258="-","",INDEX('Inventaire M-1'!$A$2:$AG$9334,MATCH(R258,'Inventaire M-1'!$A:$A,0)-1,MATCH("poids",'Inventaire M-1'!#REF!,0)))</f>
        <v>#REF!</v>
      </c>
      <c r="AB258" s="155" t="str">
        <f>IF(R258="-","",IF(ISERROR(INDEX('Inventaire M'!$A$2:$AD$9319,MATCH(R258,'Inventaire M'!$A:$A,0)-1,MATCH("poids",'Inventaire M'!#REF!,0))),"Sell",INDEX('Inventaire M'!$A$2:$AD$9319,MATCH(R258,'Inventaire M'!$A:$A,0)-1,MATCH("poids",'Inventaire M'!#REF!,0))))</f>
        <v>Sell</v>
      </c>
      <c r="AC258" s="175"/>
      <c r="AD258" s="157" t="str">
        <f t="shared" si="27"/>
        <v>0</v>
      </c>
      <c r="AE258" s="98" t="str">
        <f t="shared" si="28"/>
        <v/>
      </c>
      <c r="AF258" s="80" t="str">
        <f t="shared" si="29"/>
        <v>ARKEMA SA PERP</v>
      </c>
    </row>
    <row r="259" spans="2:32" outlineLevel="1">
      <c r="B259" s="175" t="str">
        <f>IF(OR('Inventaire M'!D37="Dispo/Liquidité Investie",'Inventaire M'!D37="Option/Future",'Inventaire M'!D37="TCN",'Inventaire M'!D37=""),"-",'Inventaire M'!A37)</f>
        <v>XS2123970241</v>
      </c>
      <c r="C259" s="175" t="str">
        <f>IF(OR('Inventaire M'!D37="Dispo/Liquidité Investie",'Inventaire M'!D37="Option/Future",'Inventaire M'!D37="TCN",'Inventaire M'!D37=""),"-",'Inventaire M'!B37)</f>
        <v>VF CORPORATION 0.625 25/02/2032</v>
      </c>
      <c r="D259" s="175"/>
      <c r="E259" s="175" t="e">
        <f>IF(B259="-","",INDEX('Inventaire M'!$A$2:$AW$9305,MATCH(B259,'Inventaire M'!$A:$A,0)-1,MATCH("Cours EUR",'Inventaire M'!#REF!,0)))</f>
        <v>#REF!</v>
      </c>
      <c r="F259" s="175" t="str">
        <f>IF(B259="-","",IF(ISERROR(INDEX('Inventaire M-1'!$A$2:$AZ$9320,MATCH(B259,'Inventaire M-1'!$A:$A,0)-1,MATCH("Cours EUR",'Inventaire M-1'!#REF!,0))),"Buy",INDEX('Inventaire M-1'!$A$2:$AZ$9320,MATCH(B259,'Inventaire M-1'!$A:$A,0)-1,MATCH("Cours EUR",'Inventaire M-1'!#REF!,0))))</f>
        <v>Buy</v>
      </c>
      <c r="G259" s="175"/>
      <c r="H259" s="156" t="e">
        <f>IF(B259="-","",INDEX('Inventaire M'!$A$2:$AW$9305,MATCH(B259,'Inventaire M'!$A:$A,0)-1,MATCH("quantite",'Inventaire M'!#REF!,0)))</f>
        <v>#REF!</v>
      </c>
      <c r="I259" s="156" t="str">
        <f>IF(C259="-","",IF(ISERROR(INDEX('Inventaire M-1'!$A$2:$AZ$9320,MATCH(B259,'Inventaire M-1'!$A:$A,0)-1,MATCH("quantite",'Inventaire M-1'!#REF!,0))),"Buy",INDEX('Inventaire M-1'!$A$2:$AZ$9320,MATCH(B259,'Inventaire M-1'!$A:$A,0)-1,MATCH("quantite",'Inventaire M-1'!#REF!,0))))</f>
        <v>Buy</v>
      </c>
      <c r="J259" s="175"/>
      <c r="K259" s="155" t="e">
        <f>IF(B259="-","",INDEX('Inventaire M'!$A$2:$AW$9305,MATCH(B259,'Inventaire M'!$A:$A,0)-1,MATCH("poids",'Inventaire M'!#REF!,0)))</f>
        <v>#REF!</v>
      </c>
      <c r="L259" s="155" t="str">
        <f>IF(B259="-","",IF(ISERROR(INDEX('Inventaire M-1'!$A$2:$AZ$9320,MATCH(B259,'Inventaire M-1'!$A:$A,0)-1,MATCH("poids",'Inventaire M-1'!#REF!,0))),"Buy",INDEX('Inventaire M-1'!$A$2:$AZ$9320,MATCH(B259,'Inventaire M-1'!$A:$A,0)-1,MATCH("poids",'Inventaire M-1'!#REF!,0))))</f>
        <v>Buy</v>
      </c>
      <c r="M259" s="175"/>
      <c r="N259" s="157" t="str">
        <f t="shared" si="24"/>
        <v>0</v>
      </c>
      <c r="O259" s="98" t="str">
        <f t="shared" si="25"/>
        <v/>
      </c>
      <c r="P259" s="80" t="str">
        <f t="shared" si="26"/>
        <v>VF CORPORATION 0.625 25/02/2032</v>
      </c>
      <c r="Q259" s="75">
        <v>2.3499999999999999E-8</v>
      </c>
      <c r="R259" s="175" t="str">
        <f>IF(OR('Inventaire M-1'!D12="Dispo/Liquidité Investie",'Inventaire M-1'!D12="Option/Future",'Inventaire M-1'!D12="TCN",'Inventaire M-1'!D12=""),"-",'Inventaire M-1'!A12)</f>
        <v>FR00140005L7</v>
      </c>
      <c r="S259" s="175" t="str">
        <f>IF(OR('Inventaire M-1'!D12="Dispo/Liquidité Investie",'Inventaire M-1'!D12="Option/Future",'Inventaire M-1'!D12="TCN",'Inventaire M-1'!D12=""),"-",'Inventaire M-1'!B12)</f>
        <v>ORANGE SA PERP</v>
      </c>
      <c r="T259" s="175"/>
      <c r="U259" s="175" t="e">
        <f>IF(R259="-","",INDEX('Inventaire M-1'!$A$2:$AG$9334,MATCH(R259,'Inventaire M-1'!$A:$A,0)-1,MATCH("Cours EUR",'Inventaire M-1'!#REF!,0)))</f>
        <v>#REF!</v>
      </c>
      <c r="V259" s="175" t="str">
        <f>IF(R259="-","",IF(ISERROR(INDEX('Inventaire M'!$A$2:$AD$9319,MATCH(R259,'Inventaire M'!$A:$A,0)-1,MATCH("Cours EUR",'Inventaire M'!#REF!,0))),"Sell",INDEX('Inventaire M'!$A$2:$AD$9319,MATCH(R259,'Inventaire M'!$A:$A,0)-1,MATCH("Cours EUR",'Inventaire M'!#REF!,0))))</f>
        <v>Sell</v>
      </c>
      <c r="W259" s="175"/>
      <c r="X259" s="156" t="e">
        <f>IF(R259="-","",INDEX('Inventaire M-1'!$A$2:$AG$9334,MATCH(R259,'Inventaire M-1'!$A:$A,0)-1,MATCH("quantite",'Inventaire M-1'!#REF!,0)))</f>
        <v>#REF!</v>
      </c>
      <c r="Y259" s="156" t="str">
        <f>IF(S259="-","",IF(ISERROR(INDEX('Inventaire M'!$A$2:$AD$9319,MATCH(R259,'Inventaire M'!$A:$A,0)-1,MATCH("quantite",'Inventaire M'!#REF!,0))),"Sell",INDEX('Inventaire M'!$A$2:$AD$9319,MATCH(R259,'Inventaire M'!$A:$A,0)-1,MATCH("quantite",'Inventaire M'!#REF!,0))))</f>
        <v>Sell</v>
      </c>
      <c r="Z259" s="175"/>
      <c r="AA259" s="155" t="e">
        <f>IF(R259="-","",INDEX('Inventaire M-1'!$A$2:$AG$9334,MATCH(R259,'Inventaire M-1'!$A:$A,0)-1,MATCH("poids",'Inventaire M-1'!#REF!,0)))</f>
        <v>#REF!</v>
      </c>
      <c r="AB259" s="155" t="str">
        <f>IF(R259="-","",IF(ISERROR(INDEX('Inventaire M'!$A$2:$AD$9319,MATCH(R259,'Inventaire M'!$A:$A,0)-1,MATCH("poids",'Inventaire M'!#REF!,0))),"Sell",INDEX('Inventaire M'!$A$2:$AD$9319,MATCH(R259,'Inventaire M'!$A:$A,0)-1,MATCH("poids",'Inventaire M'!#REF!,0))))</f>
        <v>Sell</v>
      </c>
      <c r="AC259" s="175"/>
      <c r="AD259" s="157" t="str">
        <f t="shared" si="27"/>
        <v>0</v>
      </c>
      <c r="AE259" s="98" t="str">
        <f t="shared" si="28"/>
        <v/>
      </c>
      <c r="AF259" s="80" t="str">
        <f t="shared" si="29"/>
        <v>ORANGE SA PERP</v>
      </c>
    </row>
    <row r="260" spans="2:32" outlineLevel="1">
      <c r="B260" s="175" t="str">
        <f>IF(OR('Inventaire M'!D38="Dispo/Liquidité Investie",'Inventaire M'!D38="Option/Future",'Inventaire M'!D38="TCN",'Inventaire M'!D38=""),"-",'Inventaire M'!A38)</f>
        <v>XS2181577268</v>
      </c>
      <c r="C260" s="175" t="str">
        <f>IF(OR('Inventaire M'!D38="Dispo/Liquidité Investie",'Inventaire M'!D38="Option/Future",'Inventaire M'!D38="TCN",'Inventaire M'!D38=""),"-",'Inventaire M'!B38)</f>
        <v>SILGAN HOLDINGS INC 2.25 01/06/2028</v>
      </c>
      <c r="D260" s="175"/>
      <c r="E260" s="175" t="e">
        <f>IF(B260="-","",INDEX('Inventaire M'!$A$2:$AW$9305,MATCH(B260,'Inventaire M'!$A:$A,0)-1,MATCH("Cours EUR",'Inventaire M'!#REF!,0)))</f>
        <v>#REF!</v>
      </c>
      <c r="F260" s="175" t="str">
        <f>IF(B260="-","",IF(ISERROR(INDEX('Inventaire M-1'!$A$2:$AZ$9320,MATCH(B260,'Inventaire M-1'!$A:$A,0)-1,MATCH("Cours EUR",'Inventaire M-1'!#REF!,0))),"Buy",INDEX('Inventaire M-1'!$A$2:$AZ$9320,MATCH(B260,'Inventaire M-1'!$A:$A,0)-1,MATCH("Cours EUR",'Inventaire M-1'!#REF!,0))))</f>
        <v>Buy</v>
      </c>
      <c r="G260" s="175"/>
      <c r="H260" s="156" t="e">
        <f>IF(B260="-","",INDEX('Inventaire M'!$A$2:$AW$9305,MATCH(B260,'Inventaire M'!$A:$A,0)-1,MATCH("quantite",'Inventaire M'!#REF!,0)))</f>
        <v>#REF!</v>
      </c>
      <c r="I260" s="156" t="str">
        <f>IF(C260="-","",IF(ISERROR(INDEX('Inventaire M-1'!$A$2:$AZ$9320,MATCH(B260,'Inventaire M-1'!$A:$A,0)-1,MATCH("quantite",'Inventaire M-1'!#REF!,0))),"Buy",INDEX('Inventaire M-1'!$A$2:$AZ$9320,MATCH(B260,'Inventaire M-1'!$A:$A,0)-1,MATCH("quantite",'Inventaire M-1'!#REF!,0))))</f>
        <v>Buy</v>
      </c>
      <c r="J260" s="175"/>
      <c r="K260" s="155" t="e">
        <f>IF(B260="-","",INDEX('Inventaire M'!$A$2:$AW$9305,MATCH(B260,'Inventaire M'!$A:$A,0)-1,MATCH("poids",'Inventaire M'!#REF!,0)))</f>
        <v>#REF!</v>
      </c>
      <c r="L260" s="155" t="str">
        <f>IF(B260="-","",IF(ISERROR(INDEX('Inventaire M-1'!$A$2:$AZ$9320,MATCH(B260,'Inventaire M-1'!$A:$A,0)-1,MATCH("poids",'Inventaire M-1'!#REF!,0))),"Buy",INDEX('Inventaire M-1'!$A$2:$AZ$9320,MATCH(B260,'Inventaire M-1'!$A:$A,0)-1,MATCH("poids",'Inventaire M-1'!#REF!,0))))</f>
        <v>Buy</v>
      </c>
      <c r="M260" s="175"/>
      <c r="N260" s="157" t="str">
        <f t="shared" si="24"/>
        <v>0</v>
      </c>
      <c r="O260" s="98" t="str">
        <f t="shared" si="25"/>
        <v/>
      </c>
      <c r="P260" s="80" t="str">
        <f t="shared" si="26"/>
        <v>SILGAN HOLDINGS INC 2.25 01/06/2028</v>
      </c>
      <c r="Q260" s="75">
        <v>2.36E-8</v>
      </c>
      <c r="R260" s="175" t="str">
        <f>IF(OR('Inventaire M-1'!D13="Dispo/Liquidité Investie",'Inventaire M-1'!D13="Option/Future",'Inventaire M-1'!D13="TCN",'Inventaire M-1'!D13=""),"-",'Inventaire M-1'!A13)</f>
        <v>FR00140007L3</v>
      </c>
      <c r="S260" s="175" t="str">
        <f>IF(OR('Inventaire M-1'!D13="Dispo/Liquidité Investie",'Inventaire M-1'!D13="Option/Future",'Inventaire M-1'!D13="TCN",'Inventaire M-1'!D13=""),"-",'Inventaire M-1'!B13)</f>
        <v>VEOLIA ENVIRONNEMENT SA NC8.5 PERP</v>
      </c>
      <c r="T260" s="175"/>
      <c r="U260" s="175" t="e">
        <f>IF(R260="-","",INDEX('Inventaire M-1'!$A$2:$AG$9334,MATCH(R260,'Inventaire M-1'!$A:$A,0)-1,MATCH("Cours EUR",'Inventaire M-1'!#REF!,0)))</f>
        <v>#REF!</v>
      </c>
      <c r="V260" s="175" t="str">
        <f>IF(R260="-","",IF(ISERROR(INDEX('Inventaire M'!$A$2:$AD$9319,MATCH(R260,'Inventaire M'!$A:$A,0)-1,MATCH("Cours EUR",'Inventaire M'!#REF!,0))),"Sell",INDEX('Inventaire M'!$A$2:$AD$9319,MATCH(R260,'Inventaire M'!$A:$A,0)-1,MATCH("Cours EUR",'Inventaire M'!#REF!,0))))</f>
        <v>Sell</v>
      </c>
      <c r="W260" s="175"/>
      <c r="X260" s="156" t="e">
        <f>IF(R260="-","",INDEX('Inventaire M-1'!$A$2:$AG$9334,MATCH(R260,'Inventaire M-1'!$A:$A,0)-1,MATCH("quantite",'Inventaire M-1'!#REF!,0)))</f>
        <v>#REF!</v>
      </c>
      <c r="Y260" s="156" t="str">
        <f>IF(S260="-","",IF(ISERROR(INDEX('Inventaire M'!$A$2:$AD$9319,MATCH(R260,'Inventaire M'!$A:$A,0)-1,MATCH("quantite",'Inventaire M'!#REF!,0))),"Sell",INDEX('Inventaire M'!$A$2:$AD$9319,MATCH(R260,'Inventaire M'!$A:$A,0)-1,MATCH("quantite",'Inventaire M'!#REF!,0))))</f>
        <v>Sell</v>
      </c>
      <c r="Z260" s="175"/>
      <c r="AA260" s="155" t="e">
        <f>IF(R260="-","",INDEX('Inventaire M-1'!$A$2:$AG$9334,MATCH(R260,'Inventaire M-1'!$A:$A,0)-1,MATCH("poids",'Inventaire M-1'!#REF!,0)))</f>
        <v>#REF!</v>
      </c>
      <c r="AB260" s="155" t="str">
        <f>IF(R260="-","",IF(ISERROR(INDEX('Inventaire M'!$A$2:$AD$9319,MATCH(R260,'Inventaire M'!$A:$A,0)-1,MATCH("poids",'Inventaire M'!#REF!,0))),"Sell",INDEX('Inventaire M'!$A$2:$AD$9319,MATCH(R260,'Inventaire M'!$A:$A,0)-1,MATCH("poids",'Inventaire M'!#REF!,0))))</f>
        <v>Sell</v>
      </c>
      <c r="AC260" s="175"/>
      <c r="AD260" s="157" t="str">
        <f t="shared" si="27"/>
        <v>0</v>
      </c>
      <c r="AE260" s="98" t="str">
        <f t="shared" si="28"/>
        <v/>
      </c>
      <c r="AF260" s="80" t="str">
        <f t="shared" si="29"/>
        <v>VEOLIA ENVIRONNEMENT SA NC8.5 PERP</v>
      </c>
    </row>
    <row r="261" spans="2:32" outlineLevel="1">
      <c r="B261" s="175" t="str">
        <f>IF(OR('Inventaire M'!D39="Dispo/Liquidité Investie",'Inventaire M'!D39="Option/Future",'Inventaire M'!D39="TCN",'Inventaire M'!D39=""),"-",'Inventaire M'!A39)</f>
        <v>XS2205083749</v>
      </c>
      <c r="C261" s="175" t="str">
        <f>IF(OR('Inventaire M'!D39="Dispo/Liquidité Investie",'Inventaire M'!D39="Option/Future",'Inventaire M'!D39="TCN",'Inventaire M'!D39=""),"-",'Inventaire M'!B39)</f>
        <v>AVANTOR FUNDING INC 3.875 15/07/2028</v>
      </c>
      <c r="D261" s="175"/>
      <c r="E261" s="175" t="e">
        <f>IF(B261="-","",INDEX('Inventaire M'!$A$2:$AW$9305,MATCH(B261,'Inventaire M'!$A:$A,0)-1,MATCH("Cours EUR",'Inventaire M'!#REF!,0)))</f>
        <v>#REF!</v>
      </c>
      <c r="F261" s="175" t="str">
        <f>IF(B261="-","",IF(ISERROR(INDEX('Inventaire M-1'!$A$2:$AZ$9320,MATCH(B261,'Inventaire M-1'!$A:$A,0)-1,MATCH("Cours EUR",'Inventaire M-1'!#REF!,0))),"Buy",INDEX('Inventaire M-1'!$A$2:$AZ$9320,MATCH(B261,'Inventaire M-1'!$A:$A,0)-1,MATCH("Cours EUR",'Inventaire M-1'!#REF!,0))))</f>
        <v>Buy</v>
      </c>
      <c r="G261" s="175"/>
      <c r="H261" s="156" t="e">
        <f>IF(B261="-","",INDEX('Inventaire M'!$A$2:$AW$9305,MATCH(B261,'Inventaire M'!$A:$A,0)-1,MATCH("quantite",'Inventaire M'!#REF!,0)))</f>
        <v>#REF!</v>
      </c>
      <c r="I261" s="156" t="str">
        <f>IF(C261="-","",IF(ISERROR(INDEX('Inventaire M-1'!$A$2:$AZ$9320,MATCH(B261,'Inventaire M-1'!$A:$A,0)-1,MATCH("quantite",'Inventaire M-1'!#REF!,0))),"Buy",INDEX('Inventaire M-1'!$A$2:$AZ$9320,MATCH(B261,'Inventaire M-1'!$A:$A,0)-1,MATCH("quantite",'Inventaire M-1'!#REF!,0))))</f>
        <v>Buy</v>
      </c>
      <c r="J261" s="175"/>
      <c r="K261" s="155" t="e">
        <f>IF(B261="-","",INDEX('Inventaire M'!$A$2:$AW$9305,MATCH(B261,'Inventaire M'!$A:$A,0)-1,MATCH("poids",'Inventaire M'!#REF!,0)))</f>
        <v>#REF!</v>
      </c>
      <c r="L261" s="155" t="str">
        <f>IF(B261="-","",IF(ISERROR(INDEX('Inventaire M-1'!$A$2:$AZ$9320,MATCH(B261,'Inventaire M-1'!$A:$A,0)-1,MATCH("poids",'Inventaire M-1'!#REF!,0))),"Buy",INDEX('Inventaire M-1'!$A$2:$AZ$9320,MATCH(B261,'Inventaire M-1'!$A:$A,0)-1,MATCH("poids",'Inventaire M-1'!#REF!,0))))</f>
        <v>Buy</v>
      </c>
      <c r="M261" s="175"/>
      <c r="N261" s="157" t="str">
        <f t="shared" si="24"/>
        <v>0</v>
      </c>
      <c r="O261" s="98" t="str">
        <f t="shared" si="25"/>
        <v/>
      </c>
      <c r="P261" s="80" t="str">
        <f t="shared" si="26"/>
        <v>AVANTOR FUNDING INC 3.875 15/07/2028</v>
      </c>
      <c r="Q261" s="75">
        <v>2.37E-8</v>
      </c>
      <c r="R261" s="175" t="str">
        <f>IF(OR('Inventaire M-1'!D14="Dispo/Liquidité Investie",'Inventaire M-1'!D14="Option/Future",'Inventaire M-1'!D14="TCN",'Inventaire M-1'!D14=""),"-",'Inventaire M-1'!A14)</f>
        <v>FR00140010J1</v>
      </c>
      <c r="S261" s="175" t="str">
        <f>IF(OR('Inventaire M-1'!D14="Dispo/Liquidité Investie",'Inventaire M-1'!D14="Option/Future",'Inventaire M-1'!D14="TCN",'Inventaire M-1'!D14=""),"-",'Inventaire M-1'!B14)</f>
        <v>ALTAREA SCA 1.75 16/01/2030</v>
      </c>
      <c r="T261" s="175"/>
      <c r="U261" s="175" t="e">
        <f>IF(R261="-","",INDEX('Inventaire M-1'!$A$2:$AG$9334,MATCH(R261,'Inventaire M-1'!$A:$A,0)-1,MATCH("Cours EUR",'Inventaire M-1'!#REF!,0)))</f>
        <v>#REF!</v>
      </c>
      <c r="V261" s="175" t="str">
        <f>IF(R261="-","",IF(ISERROR(INDEX('Inventaire M'!$A$2:$AD$9319,MATCH(R261,'Inventaire M'!$A:$A,0)-1,MATCH("Cours EUR",'Inventaire M'!#REF!,0))),"Sell",INDEX('Inventaire M'!$A$2:$AD$9319,MATCH(R261,'Inventaire M'!$A:$A,0)-1,MATCH("Cours EUR",'Inventaire M'!#REF!,0))))</f>
        <v>Sell</v>
      </c>
      <c r="W261" s="175"/>
      <c r="X261" s="156" t="e">
        <f>IF(R261="-","",INDEX('Inventaire M-1'!$A$2:$AG$9334,MATCH(R261,'Inventaire M-1'!$A:$A,0)-1,MATCH("quantite",'Inventaire M-1'!#REF!,0)))</f>
        <v>#REF!</v>
      </c>
      <c r="Y261" s="156" t="str">
        <f>IF(S261="-","",IF(ISERROR(INDEX('Inventaire M'!$A$2:$AD$9319,MATCH(R261,'Inventaire M'!$A:$A,0)-1,MATCH("quantite",'Inventaire M'!#REF!,0))),"Sell",INDEX('Inventaire M'!$A$2:$AD$9319,MATCH(R261,'Inventaire M'!$A:$A,0)-1,MATCH("quantite",'Inventaire M'!#REF!,0))))</f>
        <v>Sell</v>
      </c>
      <c r="Z261" s="175"/>
      <c r="AA261" s="155" t="e">
        <f>IF(R261="-","",INDEX('Inventaire M-1'!$A$2:$AG$9334,MATCH(R261,'Inventaire M-1'!$A:$A,0)-1,MATCH("poids",'Inventaire M-1'!#REF!,0)))</f>
        <v>#REF!</v>
      </c>
      <c r="AB261" s="155" t="str">
        <f>IF(R261="-","",IF(ISERROR(INDEX('Inventaire M'!$A$2:$AD$9319,MATCH(R261,'Inventaire M'!$A:$A,0)-1,MATCH("poids",'Inventaire M'!#REF!,0))),"Sell",INDEX('Inventaire M'!$A$2:$AD$9319,MATCH(R261,'Inventaire M'!$A:$A,0)-1,MATCH("poids",'Inventaire M'!#REF!,0))))</f>
        <v>Sell</v>
      </c>
      <c r="AC261" s="175"/>
      <c r="AD261" s="157" t="str">
        <f t="shared" si="27"/>
        <v>0</v>
      </c>
      <c r="AE261" s="98" t="str">
        <f t="shared" si="28"/>
        <v/>
      </c>
      <c r="AF261" s="80" t="str">
        <f t="shared" si="29"/>
        <v>ALTAREA SCA 1.75 16/01/2030</v>
      </c>
    </row>
    <row r="262" spans="2:32" outlineLevel="1">
      <c r="B262" s="175" t="str">
        <f>IF(OR('Inventaire M'!D40="Dispo/Liquidité Investie",'Inventaire M'!D40="Option/Future",'Inventaire M'!D40="TCN",'Inventaire M'!D40=""),"-",'Inventaire M'!A40)</f>
        <v>XS2209344543</v>
      </c>
      <c r="C262" s="175" t="str">
        <f>IF(OR('Inventaire M'!D40="Dispo/Liquidité Investie",'Inventaire M'!D40="Option/Future",'Inventaire M'!D40="TCN",'Inventaire M'!D40=""),"-",'Inventaire M'!B40)</f>
        <v>FAURECIA SE 3.75 15/06/2028</v>
      </c>
      <c r="D262" s="175"/>
      <c r="E262" s="175" t="e">
        <f>IF(B262="-","",INDEX('Inventaire M'!$A$2:$AW$9305,MATCH(B262,'Inventaire M'!$A:$A,0)-1,MATCH("Cours EUR",'Inventaire M'!#REF!,0)))</f>
        <v>#REF!</v>
      </c>
      <c r="F262" s="175" t="str">
        <f>IF(B262="-","",IF(ISERROR(INDEX('Inventaire M-1'!$A$2:$AZ$9320,MATCH(B262,'Inventaire M-1'!$A:$A,0)-1,MATCH("Cours EUR",'Inventaire M-1'!#REF!,0))),"Buy",INDEX('Inventaire M-1'!$A$2:$AZ$9320,MATCH(B262,'Inventaire M-1'!$A:$A,0)-1,MATCH("Cours EUR",'Inventaire M-1'!#REF!,0))))</f>
        <v>Buy</v>
      </c>
      <c r="G262" s="175"/>
      <c r="H262" s="156" t="e">
        <f>IF(B262="-","",INDEX('Inventaire M'!$A$2:$AW$9305,MATCH(B262,'Inventaire M'!$A:$A,0)-1,MATCH("quantite",'Inventaire M'!#REF!,0)))</f>
        <v>#REF!</v>
      </c>
      <c r="I262" s="156" t="str">
        <f>IF(C262="-","",IF(ISERROR(INDEX('Inventaire M-1'!$A$2:$AZ$9320,MATCH(B262,'Inventaire M-1'!$A:$A,0)-1,MATCH("quantite",'Inventaire M-1'!#REF!,0))),"Buy",INDEX('Inventaire M-1'!$A$2:$AZ$9320,MATCH(B262,'Inventaire M-1'!$A:$A,0)-1,MATCH("quantite",'Inventaire M-1'!#REF!,0))))</f>
        <v>Buy</v>
      </c>
      <c r="J262" s="175"/>
      <c r="K262" s="155" t="e">
        <f>IF(B262="-","",INDEX('Inventaire M'!$A$2:$AW$9305,MATCH(B262,'Inventaire M'!$A:$A,0)-1,MATCH("poids",'Inventaire M'!#REF!,0)))</f>
        <v>#REF!</v>
      </c>
      <c r="L262" s="155" t="str">
        <f>IF(B262="-","",IF(ISERROR(INDEX('Inventaire M-1'!$A$2:$AZ$9320,MATCH(B262,'Inventaire M-1'!$A:$A,0)-1,MATCH("poids",'Inventaire M-1'!#REF!,0))),"Buy",INDEX('Inventaire M-1'!$A$2:$AZ$9320,MATCH(B262,'Inventaire M-1'!$A:$A,0)-1,MATCH("poids",'Inventaire M-1'!#REF!,0))))</f>
        <v>Buy</v>
      </c>
      <c r="M262" s="175"/>
      <c r="N262" s="157" t="str">
        <f t="shared" si="24"/>
        <v>0</v>
      </c>
      <c r="O262" s="98" t="str">
        <f t="shared" si="25"/>
        <v/>
      </c>
      <c r="P262" s="80" t="str">
        <f t="shared" si="26"/>
        <v>FAURECIA SE 3.75 15/06/2028</v>
      </c>
      <c r="Q262" s="75">
        <v>2.3800000000000001E-8</v>
      </c>
      <c r="R262" s="175" t="str">
        <f>IF(OR('Inventaire M-1'!D15="Dispo/Liquidité Investie",'Inventaire M-1'!D15="Option/Future",'Inventaire M-1'!D15="TCN",'Inventaire M-1'!D15=""),"-",'Inventaire M-1'!A15)</f>
        <v>FR001400F2R8</v>
      </c>
      <c r="S262" s="175" t="str">
        <f>IF(OR('Inventaire M-1'!D15="Dispo/Liquidité Investie",'Inventaire M-1'!D15="Option/Future",'Inventaire M-1'!D15="TCN",'Inventaire M-1'!D15=""),"-",'Inventaire M-1'!B15)</f>
        <v>AIR FRANCE-KLM 8.125 31/05/2028</v>
      </c>
      <c r="T262" s="175"/>
      <c r="U262" s="175" t="e">
        <f>IF(R262="-","",INDEX('Inventaire M-1'!$A$2:$AG$9334,MATCH(R262,'Inventaire M-1'!$A:$A,0)-1,MATCH("Cours EUR",'Inventaire M-1'!#REF!,0)))</f>
        <v>#REF!</v>
      </c>
      <c r="V262" s="175" t="str">
        <f>IF(R262="-","",IF(ISERROR(INDEX('Inventaire M'!$A$2:$AD$9319,MATCH(R262,'Inventaire M'!$A:$A,0)-1,MATCH("Cours EUR",'Inventaire M'!#REF!,0))),"Sell",INDEX('Inventaire M'!$A$2:$AD$9319,MATCH(R262,'Inventaire M'!$A:$A,0)-1,MATCH("Cours EUR",'Inventaire M'!#REF!,0))))</f>
        <v>Sell</v>
      </c>
      <c r="W262" s="175"/>
      <c r="X262" s="156" t="e">
        <f>IF(R262="-","",INDEX('Inventaire M-1'!$A$2:$AG$9334,MATCH(R262,'Inventaire M-1'!$A:$A,0)-1,MATCH("quantite",'Inventaire M-1'!#REF!,0)))</f>
        <v>#REF!</v>
      </c>
      <c r="Y262" s="156" t="str">
        <f>IF(S262="-","",IF(ISERROR(INDEX('Inventaire M'!$A$2:$AD$9319,MATCH(R262,'Inventaire M'!$A:$A,0)-1,MATCH("quantite",'Inventaire M'!#REF!,0))),"Sell",INDEX('Inventaire M'!$A$2:$AD$9319,MATCH(R262,'Inventaire M'!$A:$A,0)-1,MATCH("quantite",'Inventaire M'!#REF!,0))))</f>
        <v>Sell</v>
      </c>
      <c r="Z262" s="175"/>
      <c r="AA262" s="155" t="e">
        <f>IF(R262="-","",INDEX('Inventaire M-1'!$A$2:$AG$9334,MATCH(R262,'Inventaire M-1'!$A:$A,0)-1,MATCH("poids",'Inventaire M-1'!#REF!,0)))</f>
        <v>#REF!</v>
      </c>
      <c r="AB262" s="155" t="str">
        <f>IF(R262="-","",IF(ISERROR(INDEX('Inventaire M'!$A$2:$AD$9319,MATCH(R262,'Inventaire M'!$A:$A,0)-1,MATCH("poids",'Inventaire M'!#REF!,0))),"Sell",INDEX('Inventaire M'!$A$2:$AD$9319,MATCH(R262,'Inventaire M'!$A:$A,0)-1,MATCH("poids",'Inventaire M'!#REF!,0))))</f>
        <v>Sell</v>
      </c>
      <c r="AC262" s="175"/>
      <c r="AD262" s="157" t="str">
        <f t="shared" si="27"/>
        <v>0</v>
      </c>
      <c r="AE262" s="98" t="str">
        <f t="shared" si="28"/>
        <v/>
      </c>
      <c r="AF262" s="80" t="str">
        <f t="shared" si="29"/>
        <v>AIR FRANCE-KLM 8.125 31/05/2028</v>
      </c>
    </row>
    <row r="263" spans="2:32" outlineLevel="1">
      <c r="B263" s="175" t="str">
        <f>IF(OR('Inventaire M'!D41="Dispo/Liquidité Investie",'Inventaire M'!D41="Option/Future",'Inventaire M'!D41="TCN",'Inventaire M'!D41=""),"-",'Inventaire M'!A41)</f>
        <v>XS2225204010</v>
      </c>
      <c r="C263" s="175" t="str">
        <f>IF(OR('Inventaire M'!D41="Dispo/Liquidité Investie",'Inventaire M'!D41="Option/Future",'Inventaire M'!D41="TCN",'Inventaire M'!D41=""),"-",'Inventaire M'!B41)</f>
        <v>VODAFONE GROUP PLC 27/08/2080</v>
      </c>
      <c r="D263" s="175"/>
      <c r="E263" s="175" t="e">
        <f>IF(B263="-","",INDEX('Inventaire M'!$A$2:$AW$9305,MATCH(B263,'Inventaire M'!$A:$A,0)-1,MATCH("Cours EUR",'Inventaire M'!#REF!,0)))</f>
        <v>#REF!</v>
      </c>
      <c r="F263" s="175" t="str">
        <f>IF(B263="-","",IF(ISERROR(INDEX('Inventaire M-1'!$A$2:$AZ$9320,MATCH(B263,'Inventaire M-1'!$A:$A,0)-1,MATCH("Cours EUR",'Inventaire M-1'!#REF!,0))),"Buy",INDEX('Inventaire M-1'!$A$2:$AZ$9320,MATCH(B263,'Inventaire M-1'!$A:$A,0)-1,MATCH("Cours EUR",'Inventaire M-1'!#REF!,0))))</f>
        <v>Buy</v>
      </c>
      <c r="G263" s="175"/>
      <c r="H263" s="156" t="e">
        <f>IF(B263="-","",INDEX('Inventaire M'!$A$2:$AW$9305,MATCH(B263,'Inventaire M'!$A:$A,0)-1,MATCH("quantite",'Inventaire M'!#REF!,0)))</f>
        <v>#REF!</v>
      </c>
      <c r="I263" s="156" t="str">
        <f>IF(C263="-","",IF(ISERROR(INDEX('Inventaire M-1'!$A$2:$AZ$9320,MATCH(B263,'Inventaire M-1'!$A:$A,0)-1,MATCH("quantite",'Inventaire M-1'!#REF!,0))),"Buy",INDEX('Inventaire M-1'!$A$2:$AZ$9320,MATCH(B263,'Inventaire M-1'!$A:$A,0)-1,MATCH("quantite",'Inventaire M-1'!#REF!,0))))</f>
        <v>Buy</v>
      </c>
      <c r="J263" s="175"/>
      <c r="K263" s="155" t="e">
        <f>IF(B263="-","",INDEX('Inventaire M'!$A$2:$AW$9305,MATCH(B263,'Inventaire M'!$A:$A,0)-1,MATCH("poids",'Inventaire M'!#REF!,0)))</f>
        <v>#REF!</v>
      </c>
      <c r="L263" s="155" t="str">
        <f>IF(B263="-","",IF(ISERROR(INDEX('Inventaire M-1'!$A$2:$AZ$9320,MATCH(B263,'Inventaire M-1'!$A:$A,0)-1,MATCH("poids",'Inventaire M-1'!#REF!,0))),"Buy",INDEX('Inventaire M-1'!$A$2:$AZ$9320,MATCH(B263,'Inventaire M-1'!$A:$A,0)-1,MATCH("poids",'Inventaire M-1'!#REF!,0))))</f>
        <v>Buy</v>
      </c>
      <c r="M263" s="175"/>
      <c r="N263" s="157" t="str">
        <f t="shared" si="24"/>
        <v>0</v>
      </c>
      <c r="O263" s="98" t="str">
        <f t="shared" si="25"/>
        <v/>
      </c>
      <c r="P263" s="80" t="str">
        <f t="shared" si="26"/>
        <v>VODAFONE GROUP PLC 27/08/2080</v>
      </c>
      <c r="Q263" s="75">
        <v>2.3899999999999999E-8</v>
      </c>
      <c r="R263" s="175" t="str">
        <f>IF(OR('Inventaire M-1'!D16="Dispo/Liquidité Investie",'Inventaire M-1'!D16="Option/Future",'Inventaire M-1'!D16="TCN",'Inventaire M-1'!D16=""),"-",'Inventaire M-1'!A16)</f>
        <v>FR001400FV85</v>
      </c>
      <c r="S263" s="175" t="str">
        <f>IF(OR('Inventaire M-1'!D16="Dispo/Liquidité Investie",'Inventaire M-1'!D16="Option/Future",'Inventaire M-1'!D16="TCN",'Inventaire M-1'!D16=""),"-",'Inventaire M-1'!B16)</f>
        <v>ILIAD SA 5.625 15/02/2030</v>
      </c>
      <c r="T263" s="175"/>
      <c r="U263" s="175" t="e">
        <f>IF(R263="-","",INDEX('Inventaire M-1'!$A$2:$AG$9334,MATCH(R263,'Inventaire M-1'!$A:$A,0)-1,MATCH("Cours EUR",'Inventaire M-1'!#REF!,0)))</f>
        <v>#REF!</v>
      </c>
      <c r="V263" s="175" t="str">
        <f>IF(R263="-","",IF(ISERROR(INDEX('Inventaire M'!$A$2:$AD$9319,MATCH(R263,'Inventaire M'!$A:$A,0)-1,MATCH("Cours EUR",'Inventaire M'!#REF!,0))),"Sell",INDEX('Inventaire M'!$A$2:$AD$9319,MATCH(R263,'Inventaire M'!$A:$A,0)-1,MATCH("Cours EUR",'Inventaire M'!#REF!,0))))</f>
        <v>Sell</v>
      </c>
      <c r="W263" s="175"/>
      <c r="X263" s="156" t="e">
        <f>IF(R263="-","",INDEX('Inventaire M-1'!$A$2:$AG$9334,MATCH(R263,'Inventaire M-1'!$A:$A,0)-1,MATCH("quantite",'Inventaire M-1'!#REF!,0)))</f>
        <v>#REF!</v>
      </c>
      <c r="Y263" s="156" t="str">
        <f>IF(S263="-","",IF(ISERROR(INDEX('Inventaire M'!$A$2:$AD$9319,MATCH(R263,'Inventaire M'!$A:$A,0)-1,MATCH("quantite",'Inventaire M'!#REF!,0))),"Sell",INDEX('Inventaire M'!$A$2:$AD$9319,MATCH(R263,'Inventaire M'!$A:$A,0)-1,MATCH("quantite",'Inventaire M'!#REF!,0))))</f>
        <v>Sell</v>
      </c>
      <c r="Z263" s="175"/>
      <c r="AA263" s="155" t="e">
        <f>IF(R263="-","",INDEX('Inventaire M-1'!$A$2:$AG$9334,MATCH(R263,'Inventaire M-1'!$A:$A,0)-1,MATCH("poids",'Inventaire M-1'!#REF!,0)))</f>
        <v>#REF!</v>
      </c>
      <c r="AB263" s="155" t="str">
        <f>IF(R263="-","",IF(ISERROR(INDEX('Inventaire M'!$A$2:$AD$9319,MATCH(R263,'Inventaire M'!$A:$A,0)-1,MATCH("poids",'Inventaire M'!#REF!,0))),"Sell",INDEX('Inventaire M'!$A$2:$AD$9319,MATCH(R263,'Inventaire M'!$A:$A,0)-1,MATCH("poids",'Inventaire M'!#REF!,0))))</f>
        <v>Sell</v>
      </c>
      <c r="AC263" s="175"/>
      <c r="AD263" s="157" t="str">
        <f t="shared" si="27"/>
        <v>0</v>
      </c>
      <c r="AE263" s="98" t="str">
        <f t="shared" si="28"/>
        <v/>
      </c>
      <c r="AF263" s="80" t="str">
        <f t="shared" si="29"/>
        <v>ILIAD SA 5.625 15/02/2030</v>
      </c>
    </row>
    <row r="264" spans="2:32" outlineLevel="1">
      <c r="B264" s="175" t="str">
        <f>IF(OR('Inventaire M'!D42="Dispo/Liquidité Investie",'Inventaire M'!D42="Option/Future",'Inventaire M'!D42="TCN",'Inventaire M'!D42=""),"-",'Inventaire M'!A42)</f>
        <v>XS2240463674</v>
      </c>
      <c r="C264" s="175" t="str">
        <f>IF(OR('Inventaire M'!D42="Dispo/Liquidité Investie",'Inventaire M'!D42="Option/Future",'Inventaire M'!D42="TCN",'Inventaire M'!D42=""),"-",'Inventaire M'!B42)</f>
        <v>LORCA TELECOM BONDCO 4 18/09/2027</v>
      </c>
      <c r="D264" s="175"/>
      <c r="E264" s="175" t="e">
        <f>IF(B264="-","",INDEX('Inventaire M'!$A$2:$AW$9305,MATCH(B264,'Inventaire M'!$A:$A,0)-1,MATCH("Cours EUR",'Inventaire M'!#REF!,0)))</f>
        <v>#REF!</v>
      </c>
      <c r="F264" s="175" t="str">
        <f>IF(B264="-","",IF(ISERROR(INDEX('Inventaire M-1'!$A$2:$AZ$9320,MATCH(B264,'Inventaire M-1'!$A:$A,0)-1,MATCH("Cours EUR",'Inventaire M-1'!#REF!,0))),"Buy",INDEX('Inventaire M-1'!$A$2:$AZ$9320,MATCH(B264,'Inventaire M-1'!$A:$A,0)-1,MATCH("Cours EUR",'Inventaire M-1'!#REF!,0))))</f>
        <v>Buy</v>
      </c>
      <c r="G264" s="175"/>
      <c r="H264" s="156" t="e">
        <f>IF(B264="-","",INDEX('Inventaire M'!$A$2:$AW$9305,MATCH(B264,'Inventaire M'!$A:$A,0)-1,MATCH("quantite",'Inventaire M'!#REF!,0)))</f>
        <v>#REF!</v>
      </c>
      <c r="I264" s="156" t="str">
        <f>IF(C264="-","",IF(ISERROR(INDEX('Inventaire M-1'!$A$2:$AZ$9320,MATCH(B264,'Inventaire M-1'!$A:$A,0)-1,MATCH("quantite",'Inventaire M-1'!#REF!,0))),"Buy",INDEX('Inventaire M-1'!$A$2:$AZ$9320,MATCH(B264,'Inventaire M-1'!$A:$A,0)-1,MATCH("quantite",'Inventaire M-1'!#REF!,0))))</f>
        <v>Buy</v>
      </c>
      <c r="J264" s="175"/>
      <c r="K264" s="155" t="e">
        <f>IF(B264="-","",INDEX('Inventaire M'!$A$2:$AW$9305,MATCH(B264,'Inventaire M'!$A:$A,0)-1,MATCH("poids",'Inventaire M'!#REF!,0)))</f>
        <v>#REF!</v>
      </c>
      <c r="L264" s="155" t="str">
        <f>IF(B264="-","",IF(ISERROR(INDEX('Inventaire M-1'!$A$2:$AZ$9320,MATCH(B264,'Inventaire M-1'!$A:$A,0)-1,MATCH("poids",'Inventaire M-1'!#REF!,0))),"Buy",INDEX('Inventaire M-1'!$A$2:$AZ$9320,MATCH(B264,'Inventaire M-1'!$A:$A,0)-1,MATCH("poids",'Inventaire M-1'!#REF!,0))))</f>
        <v>Buy</v>
      </c>
      <c r="M264" s="175"/>
      <c r="N264" s="157" t="str">
        <f t="shared" si="24"/>
        <v>0</v>
      </c>
      <c r="O264" s="98" t="str">
        <f t="shared" si="25"/>
        <v/>
      </c>
      <c r="P264" s="80" t="str">
        <f t="shared" si="26"/>
        <v>LORCA TELECOM BONDCO 4 18/09/2027</v>
      </c>
      <c r="Q264" s="75">
        <v>2.4E-8</v>
      </c>
      <c r="R264" s="175" t="str">
        <f>IF(OR('Inventaire M-1'!D17="Dispo/Liquidité Investie",'Inventaire M-1'!D17="Option/Future",'Inventaire M-1'!D17="TCN",'Inventaire M-1'!D17=""),"-",'Inventaire M-1'!A17)</f>
        <v>FR001400Q6Z9</v>
      </c>
      <c r="S264" s="175" t="str">
        <f>IF(OR('Inventaire M-1'!D17="Dispo/Liquidité Investie",'Inventaire M-1'!D17="Option/Future",'Inventaire M-1'!D17="TCN",'Inventaire M-1'!D17=""),"-",'Inventaire M-1'!B17)</f>
        <v>AIR FRANCE-KLM 4.625 23/05/2029</v>
      </c>
      <c r="T264" s="175"/>
      <c r="U264" s="175" t="e">
        <f>IF(R264="-","",INDEX('Inventaire M-1'!$A$2:$AG$9334,MATCH(R264,'Inventaire M-1'!$A:$A,0)-1,MATCH("Cours EUR",'Inventaire M-1'!#REF!,0)))</f>
        <v>#REF!</v>
      </c>
      <c r="V264" s="175" t="str">
        <f>IF(R264="-","",IF(ISERROR(INDEX('Inventaire M'!$A$2:$AD$9319,MATCH(R264,'Inventaire M'!$A:$A,0)-1,MATCH("Cours EUR",'Inventaire M'!#REF!,0))),"Sell",INDEX('Inventaire M'!$A$2:$AD$9319,MATCH(R264,'Inventaire M'!$A:$A,0)-1,MATCH("Cours EUR",'Inventaire M'!#REF!,0))))</f>
        <v>Sell</v>
      </c>
      <c r="W264" s="175"/>
      <c r="X264" s="156" t="e">
        <f>IF(R264="-","",INDEX('Inventaire M-1'!$A$2:$AG$9334,MATCH(R264,'Inventaire M-1'!$A:$A,0)-1,MATCH("quantite",'Inventaire M-1'!#REF!,0)))</f>
        <v>#REF!</v>
      </c>
      <c r="Y264" s="156" t="str">
        <f>IF(S264="-","",IF(ISERROR(INDEX('Inventaire M'!$A$2:$AD$9319,MATCH(R264,'Inventaire M'!$A:$A,0)-1,MATCH("quantite",'Inventaire M'!#REF!,0))),"Sell",INDEX('Inventaire M'!$A$2:$AD$9319,MATCH(R264,'Inventaire M'!$A:$A,0)-1,MATCH("quantite",'Inventaire M'!#REF!,0))))</f>
        <v>Sell</v>
      </c>
      <c r="Z264" s="175"/>
      <c r="AA264" s="155" t="e">
        <f>IF(R264="-","",INDEX('Inventaire M-1'!$A$2:$AG$9334,MATCH(R264,'Inventaire M-1'!$A:$A,0)-1,MATCH("poids",'Inventaire M-1'!#REF!,0)))</f>
        <v>#REF!</v>
      </c>
      <c r="AB264" s="155" t="str">
        <f>IF(R264="-","",IF(ISERROR(INDEX('Inventaire M'!$A$2:$AD$9319,MATCH(R264,'Inventaire M'!$A:$A,0)-1,MATCH("poids",'Inventaire M'!#REF!,0))),"Sell",INDEX('Inventaire M'!$A$2:$AD$9319,MATCH(R264,'Inventaire M'!$A:$A,0)-1,MATCH("poids",'Inventaire M'!#REF!,0))))</f>
        <v>Sell</v>
      </c>
      <c r="AC264" s="175"/>
      <c r="AD264" s="157" t="str">
        <f t="shared" si="27"/>
        <v>0</v>
      </c>
      <c r="AE264" s="98" t="str">
        <f t="shared" si="28"/>
        <v/>
      </c>
      <c r="AF264" s="80" t="str">
        <f t="shared" si="29"/>
        <v>AIR FRANCE-KLM 4.625 23/05/2029</v>
      </c>
    </row>
    <row r="265" spans="2:32" outlineLevel="1">
      <c r="B265" s="175" t="str">
        <f>IF(OR('Inventaire M'!D43="Dispo/Liquidité Investie",'Inventaire M'!D43="Option/Future",'Inventaire M'!D43="TCN",'Inventaire M'!D43=""),"-",'Inventaire M'!A43)</f>
        <v>XS2247616514</v>
      </c>
      <c r="C265" s="175" t="str">
        <f>IF(OR('Inventaire M'!D43="Dispo/Liquidité Investie",'Inventaire M'!D43="Option/Future",'Inventaire M'!D43="TCN",'Inventaire M'!D43=""),"-",'Inventaire M'!B43)</f>
        <v>CANPACK SA 2.375 01/11/2027</v>
      </c>
      <c r="D265" s="175"/>
      <c r="E265" s="175" t="e">
        <f>IF(B265="-","",INDEX('Inventaire M'!$A$2:$AW$9305,MATCH(B265,'Inventaire M'!$A:$A,0)-1,MATCH("Cours EUR",'Inventaire M'!#REF!,0)))</f>
        <v>#REF!</v>
      </c>
      <c r="F265" s="175" t="str">
        <f>IF(B265="-","",IF(ISERROR(INDEX('Inventaire M-1'!$A$2:$AZ$9320,MATCH(B265,'Inventaire M-1'!$A:$A,0)-1,MATCH("Cours EUR",'Inventaire M-1'!#REF!,0))),"Buy",INDEX('Inventaire M-1'!$A$2:$AZ$9320,MATCH(B265,'Inventaire M-1'!$A:$A,0)-1,MATCH("Cours EUR",'Inventaire M-1'!#REF!,0))))</f>
        <v>Buy</v>
      </c>
      <c r="G265" s="175"/>
      <c r="H265" s="156" t="e">
        <f>IF(B265="-","",INDEX('Inventaire M'!$A$2:$AW$9305,MATCH(B265,'Inventaire M'!$A:$A,0)-1,MATCH("quantite",'Inventaire M'!#REF!,0)))</f>
        <v>#REF!</v>
      </c>
      <c r="I265" s="156" t="str">
        <f>IF(C265="-","",IF(ISERROR(INDEX('Inventaire M-1'!$A$2:$AZ$9320,MATCH(B265,'Inventaire M-1'!$A:$A,0)-1,MATCH("quantite",'Inventaire M-1'!#REF!,0))),"Buy",INDEX('Inventaire M-1'!$A$2:$AZ$9320,MATCH(B265,'Inventaire M-1'!$A:$A,0)-1,MATCH("quantite",'Inventaire M-1'!#REF!,0))))</f>
        <v>Buy</v>
      </c>
      <c r="J265" s="175"/>
      <c r="K265" s="155" t="e">
        <f>IF(B265="-","",INDEX('Inventaire M'!$A$2:$AW$9305,MATCH(B265,'Inventaire M'!$A:$A,0)-1,MATCH("poids",'Inventaire M'!#REF!,0)))</f>
        <v>#REF!</v>
      </c>
      <c r="L265" s="155" t="str">
        <f>IF(B265="-","",IF(ISERROR(INDEX('Inventaire M-1'!$A$2:$AZ$9320,MATCH(B265,'Inventaire M-1'!$A:$A,0)-1,MATCH("poids",'Inventaire M-1'!#REF!,0))),"Buy",INDEX('Inventaire M-1'!$A$2:$AZ$9320,MATCH(B265,'Inventaire M-1'!$A:$A,0)-1,MATCH("poids",'Inventaire M-1'!#REF!,0))))</f>
        <v>Buy</v>
      </c>
      <c r="M265" s="175"/>
      <c r="N265" s="157" t="str">
        <f t="shared" si="24"/>
        <v>0</v>
      </c>
      <c r="O265" s="98" t="str">
        <f t="shared" si="25"/>
        <v/>
      </c>
      <c r="P265" s="80" t="str">
        <f t="shared" si="26"/>
        <v>CANPACK SA 2.375 01/11/2027</v>
      </c>
      <c r="Q265" s="75">
        <v>2.4100000000000001E-8</v>
      </c>
      <c r="R265" s="175" t="str">
        <f>IF(OR('Inventaire M-1'!D18="Dispo/Liquidité Investie",'Inventaire M-1'!D18="Option/Future",'Inventaire M-1'!D18="TCN",'Inventaire M-1'!D18=""),"-",'Inventaire M-1'!A18)</f>
        <v>FR001400Q7G7</v>
      </c>
      <c r="S265" s="175" t="str">
        <f>IF(OR('Inventaire M-1'!D18="Dispo/Liquidité Investie",'Inventaire M-1'!D18="Option/Future",'Inventaire M-1'!D18="TCN",'Inventaire M-1'!D18=""),"-",'Inventaire M-1'!B18)</f>
        <v>ALSTOM SA PERP</v>
      </c>
      <c r="T265" s="175"/>
      <c r="U265" s="175" t="e">
        <f>IF(R265="-","",INDEX('Inventaire M-1'!$A$2:$AG$9334,MATCH(R265,'Inventaire M-1'!$A:$A,0)-1,MATCH("Cours EUR",'Inventaire M-1'!#REF!,0)))</f>
        <v>#REF!</v>
      </c>
      <c r="V265" s="175" t="str">
        <f>IF(R265="-","",IF(ISERROR(INDEX('Inventaire M'!$A$2:$AD$9319,MATCH(R265,'Inventaire M'!$A:$A,0)-1,MATCH("Cours EUR",'Inventaire M'!#REF!,0))),"Sell",INDEX('Inventaire M'!$A$2:$AD$9319,MATCH(R265,'Inventaire M'!$A:$A,0)-1,MATCH("Cours EUR",'Inventaire M'!#REF!,0))))</f>
        <v>Sell</v>
      </c>
      <c r="W265" s="175"/>
      <c r="X265" s="156" t="e">
        <f>IF(R265="-","",INDEX('Inventaire M-1'!$A$2:$AG$9334,MATCH(R265,'Inventaire M-1'!$A:$A,0)-1,MATCH("quantite",'Inventaire M-1'!#REF!,0)))</f>
        <v>#REF!</v>
      </c>
      <c r="Y265" s="156" t="str">
        <f>IF(S265="-","",IF(ISERROR(INDEX('Inventaire M'!$A$2:$AD$9319,MATCH(R265,'Inventaire M'!$A:$A,0)-1,MATCH("quantite",'Inventaire M'!#REF!,0))),"Sell",INDEX('Inventaire M'!$A$2:$AD$9319,MATCH(R265,'Inventaire M'!$A:$A,0)-1,MATCH("quantite",'Inventaire M'!#REF!,0))))</f>
        <v>Sell</v>
      </c>
      <c r="Z265" s="175"/>
      <c r="AA265" s="155" t="e">
        <f>IF(R265="-","",INDEX('Inventaire M-1'!$A$2:$AG$9334,MATCH(R265,'Inventaire M-1'!$A:$A,0)-1,MATCH("poids",'Inventaire M-1'!#REF!,0)))</f>
        <v>#REF!</v>
      </c>
      <c r="AB265" s="155" t="str">
        <f>IF(R265="-","",IF(ISERROR(INDEX('Inventaire M'!$A$2:$AD$9319,MATCH(R265,'Inventaire M'!$A:$A,0)-1,MATCH("poids",'Inventaire M'!#REF!,0))),"Sell",INDEX('Inventaire M'!$A$2:$AD$9319,MATCH(R265,'Inventaire M'!$A:$A,0)-1,MATCH("poids",'Inventaire M'!#REF!,0))))</f>
        <v>Sell</v>
      </c>
      <c r="AC265" s="175"/>
      <c r="AD265" s="157" t="str">
        <f t="shared" si="27"/>
        <v>0</v>
      </c>
      <c r="AE265" s="98" t="str">
        <f t="shared" si="28"/>
        <v/>
      </c>
      <c r="AF265" s="80" t="str">
        <f t="shared" si="29"/>
        <v>ALSTOM SA PERP</v>
      </c>
    </row>
    <row r="266" spans="2:32" outlineLevel="1">
      <c r="B266" s="175" t="str">
        <f>IF(OR('Inventaire M'!D44="Dispo/Liquidité Investie",'Inventaire M'!D44="Option/Future",'Inventaire M'!D44="TCN",'Inventaire M'!D44=""),"-",'Inventaire M'!A44)</f>
        <v>XS2271225281</v>
      </c>
      <c r="C266" s="175" t="str">
        <f>IF(OR('Inventaire M'!D44="Dispo/Liquidité Investie",'Inventaire M'!D44="Option/Future",'Inventaire M'!D44="TCN",'Inventaire M'!D44=""),"-",'Inventaire M'!B44)</f>
        <v>GRAND CITY PROPERTIES SA PERP</v>
      </c>
      <c r="D266" s="175"/>
      <c r="E266" s="175" t="e">
        <f>IF(B266="-","",INDEX('Inventaire M'!$A$2:$AW$9305,MATCH(B266,'Inventaire M'!$A:$A,0)-1,MATCH("Cours EUR",'Inventaire M'!#REF!,0)))</f>
        <v>#REF!</v>
      </c>
      <c r="F266" s="175" t="str">
        <f>IF(B266="-","",IF(ISERROR(INDEX('Inventaire M-1'!$A$2:$AZ$9320,MATCH(B266,'Inventaire M-1'!$A:$A,0)-1,MATCH("Cours EUR",'Inventaire M-1'!#REF!,0))),"Buy",INDEX('Inventaire M-1'!$A$2:$AZ$9320,MATCH(B266,'Inventaire M-1'!$A:$A,0)-1,MATCH("Cours EUR",'Inventaire M-1'!#REF!,0))))</f>
        <v>Buy</v>
      </c>
      <c r="G266" s="175"/>
      <c r="H266" s="156" t="e">
        <f>IF(B266="-","",INDEX('Inventaire M'!$A$2:$AW$9305,MATCH(B266,'Inventaire M'!$A:$A,0)-1,MATCH("quantite",'Inventaire M'!#REF!,0)))</f>
        <v>#REF!</v>
      </c>
      <c r="I266" s="156" t="str">
        <f>IF(C266="-","",IF(ISERROR(INDEX('Inventaire M-1'!$A$2:$AZ$9320,MATCH(B266,'Inventaire M-1'!$A:$A,0)-1,MATCH("quantite",'Inventaire M-1'!#REF!,0))),"Buy",INDEX('Inventaire M-1'!$A$2:$AZ$9320,MATCH(B266,'Inventaire M-1'!$A:$A,0)-1,MATCH("quantite",'Inventaire M-1'!#REF!,0))))</f>
        <v>Buy</v>
      </c>
      <c r="J266" s="175"/>
      <c r="K266" s="155" t="e">
        <f>IF(B266="-","",INDEX('Inventaire M'!$A$2:$AW$9305,MATCH(B266,'Inventaire M'!$A:$A,0)-1,MATCH("poids",'Inventaire M'!#REF!,0)))</f>
        <v>#REF!</v>
      </c>
      <c r="L266" s="155" t="str">
        <f>IF(B266="-","",IF(ISERROR(INDEX('Inventaire M-1'!$A$2:$AZ$9320,MATCH(B266,'Inventaire M-1'!$A:$A,0)-1,MATCH("poids",'Inventaire M-1'!#REF!,0))),"Buy",INDEX('Inventaire M-1'!$A$2:$AZ$9320,MATCH(B266,'Inventaire M-1'!$A:$A,0)-1,MATCH("poids",'Inventaire M-1'!#REF!,0))))</f>
        <v>Buy</v>
      </c>
      <c r="M266" s="175"/>
      <c r="N266" s="157" t="str">
        <f t="shared" si="24"/>
        <v>0</v>
      </c>
      <c r="O266" s="98" t="str">
        <f t="shared" si="25"/>
        <v/>
      </c>
      <c r="P266" s="80" t="str">
        <f t="shared" si="26"/>
        <v>GRAND CITY PROPERTIES SA PERP</v>
      </c>
      <c r="Q266" s="75">
        <v>2.4200000000000002E-8</v>
      </c>
      <c r="R266" s="175" t="str">
        <f>IF(OR('Inventaire M-1'!D19="Dispo/Liquidité Investie",'Inventaire M-1'!D19="Option/Future",'Inventaire M-1'!D19="TCN",'Inventaire M-1'!D19=""),"-",'Inventaire M-1'!A19)</f>
        <v>FR001400QOL3</v>
      </c>
      <c r="S266" s="175" t="str">
        <f>IF(OR('Inventaire M-1'!D19="Dispo/Liquidité Investie",'Inventaire M-1'!D19="Option/Future",'Inventaire M-1'!D19="TCN",'Inventaire M-1'!D19=""),"-",'Inventaire M-1'!B19)</f>
        <v>ENGIE SA NC9 PERP</v>
      </c>
      <c r="T266" s="175"/>
      <c r="U266" s="175" t="e">
        <f>IF(R266="-","",INDEX('Inventaire M-1'!$A$2:$AG$9334,MATCH(R266,'Inventaire M-1'!$A:$A,0)-1,MATCH("Cours EUR",'Inventaire M-1'!#REF!,0)))</f>
        <v>#REF!</v>
      </c>
      <c r="V266" s="175" t="str">
        <f>IF(R266="-","",IF(ISERROR(INDEX('Inventaire M'!$A$2:$AD$9319,MATCH(R266,'Inventaire M'!$A:$A,0)-1,MATCH("Cours EUR",'Inventaire M'!#REF!,0))),"Sell",INDEX('Inventaire M'!$A$2:$AD$9319,MATCH(R266,'Inventaire M'!$A:$A,0)-1,MATCH("Cours EUR",'Inventaire M'!#REF!,0))))</f>
        <v>Sell</v>
      </c>
      <c r="W266" s="175"/>
      <c r="X266" s="156" t="e">
        <f>IF(R266="-","",INDEX('Inventaire M-1'!$A$2:$AG$9334,MATCH(R266,'Inventaire M-1'!$A:$A,0)-1,MATCH("quantite",'Inventaire M-1'!#REF!,0)))</f>
        <v>#REF!</v>
      </c>
      <c r="Y266" s="156" t="str">
        <f>IF(S266="-","",IF(ISERROR(INDEX('Inventaire M'!$A$2:$AD$9319,MATCH(R266,'Inventaire M'!$A:$A,0)-1,MATCH("quantite",'Inventaire M'!#REF!,0))),"Sell",INDEX('Inventaire M'!$A$2:$AD$9319,MATCH(R266,'Inventaire M'!$A:$A,0)-1,MATCH("quantite",'Inventaire M'!#REF!,0))))</f>
        <v>Sell</v>
      </c>
      <c r="Z266" s="175"/>
      <c r="AA266" s="155" t="e">
        <f>IF(R266="-","",INDEX('Inventaire M-1'!$A$2:$AG$9334,MATCH(R266,'Inventaire M-1'!$A:$A,0)-1,MATCH("poids",'Inventaire M-1'!#REF!,0)))</f>
        <v>#REF!</v>
      </c>
      <c r="AB266" s="155" t="str">
        <f>IF(R266="-","",IF(ISERROR(INDEX('Inventaire M'!$A$2:$AD$9319,MATCH(R266,'Inventaire M'!$A:$A,0)-1,MATCH("poids",'Inventaire M'!#REF!,0))),"Sell",INDEX('Inventaire M'!$A$2:$AD$9319,MATCH(R266,'Inventaire M'!$A:$A,0)-1,MATCH("poids",'Inventaire M'!#REF!,0))))</f>
        <v>Sell</v>
      </c>
      <c r="AC266" s="175"/>
      <c r="AD266" s="157" t="str">
        <f t="shared" si="27"/>
        <v>0</v>
      </c>
      <c r="AE266" s="98" t="str">
        <f t="shared" si="28"/>
        <v/>
      </c>
      <c r="AF266" s="80" t="str">
        <f t="shared" si="29"/>
        <v>ENGIE SA NC9 PERP</v>
      </c>
    </row>
    <row r="267" spans="2:32" outlineLevel="1">
      <c r="B267" s="175" t="str">
        <f>IF(OR('Inventaire M'!D45="Dispo/Liquidité Investie",'Inventaire M'!D45="Option/Future",'Inventaire M'!D45="TCN",'Inventaire M'!D45=""),"-",'Inventaire M'!A45)</f>
        <v>XS2272845798</v>
      </c>
      <c r="C267" s="175" t="str">
        <f>IF(OR('Inventaire M'!D45="Dispo/Liquidité Investie",'Inventaire M'!D45="Option/Future",'Inventaire M'!D45="TCN",'Inventaire M'!D45=""),"-",'Inventaire M'!B45)</f>
        <v>VZ VENDOR FINANCING II BV 2.875 15/01/2029</v>
      </c>
      <c r="D267" s="175"/>
      <c r="E267" s="175" t="e">
        <f>IF(B267="-","",INDEX('Inventaire M'!$A$2:$AW$9305,MATCH(B267,'Inventaire M'!$A:$A,0)-1,MATCH("Cours EUR",'Inventaire M'!#REF!,0)))</f>
        <v>#REF!</v>
      </c>
      <c r="F267" s="175" t="str">
        <f>IF(B267="-","",IF(ISERROR(INDEX('Inventaire M-1'!$A$2:$AZ$9320,MATCH(B267,'Inventaire M-1'!$A:$A,0)-1,MATCH("Cours EUR",'Inventaire M-1'!#REF!,0))),"Buy",INDEX('Inventaire M-1'!$A$2:$AZ$9320,MATCH(B267,'Inventaire M-1'!$A:$A,0)-1,MATCH("Cours EUR",'Inventaire M-1'!#REF!,0))))</f>
        <v>Buy</v>
      </c>
      <c r="G267" s="175"/>
      <c r="H267" s="156" t="e">
        <f>IF(B267="-","",INDEX('Inventaire M'!$A$2:$AW$9305,MATCH(B267,'Inventaire M'!$A:$A,0)-1,MATCH("quantite",'Inventaire M'!#REF!,0)))</f>
        <v>#REF!</v>
      </c>
      <c r="I267" s="156" t="str">
        <f>IF(C267="-","",IF(ISERROR(INDEX('Inventaire M-1'!$A$2:$AZ$9320,MATCH(B267,'Inventaire M-1'!$A:$A,0)-1,MATCH("quantite",'Inventaire M-1'!#REF!,0))),"Buy",INDEX('Inventaire M-1'!$A$2:$AZ$9320,MATCH(B267,'Inventaire M-1'!$A:$A,0)-1,MATCH("quantite",'Inventaire M-1'!#REF!,0))))</f>
        <v>Buy</v>
      </c>
      <c r="J267" s="175"/>
      <c r="K267" s="155" t="e">
        <f>IF(B267="-","",INDEX('Inventaire M'!$A$2:$AW$9305,MATCH(B267,'Inventaire M'!$A:$A,0)-1,MATCH("poids",'Inventaire M'!#REF!,0)))</f>
        <v>#REF!</v>
      </c>
      <c r="L267" s="155" t="str">
        <f>IF(B267="-","",IF(ISERROR(INDEX('Inventaire M-1'!$A$2:$AZ$9320,MATCH(B267,'Inventaire M-1'!$A:$A,0)-1,MATCH("poids",'Inventaire M-1'!#REF!,0))),"Buy",INDEX('Inventaire M-1'!$A$2:$AZ$9320,MATCH(B267,'Inventaire M-1'!$A:$A,0)-1,MATCH("poids",'Inventaire M-1'!#REF!,0))))</f>
        <v>Buy</v>
      </c>
      <c r="M267" s="175"/>
      <c r="N267" s="157" t="str">
        <f t="shared" si="24"/>
        <v>0</v>
      </c>
      <c r="O267" s="98" t="str">
        <f t="shared" si="25"/>
        <v/>
      </c>
      <c r="P267" s="80" t="str">
        <f t="shared" si="26"/>
        <v>VZ VENDOR FINANCING II BV 2.875 15/01/2029</v>
      </c>
      <c r="Q267" s="75">
        <v>2.4299999999999999E-8</v>
      </c>
      <c r="R267" s="175" t="str">
        <f>IF(OR('Inventaire M-1'!D20="Dispo/Liquidité Investie",'Inventaire M-1'!D20="Option/Future",'Inventaire M-1'!D20="TCN",'Inventaire M-1'!D20=""),"-",'Inventaire M-1'!A20)</f>
        <v>FR001400TL99</v>
      </c>
      <c r="S267" s="175" t="str">
        <f>IF(OR('Inventaire M-1'!D20="Dispo/Liquidité Investie",'Inventaire M-1'!D20="Option/Future",'Inventaire M-1'!D20="TCN",'Inventaire M-1'!D20=""),"-",'Inventaire M-1'!B20)</f>
        <v>ILIAD SA 4.25 15/12/2029</v>
      </c>
      <c r="T267" s="175"/>
      <c r="U267" s="175" t="e">
        <f>IF(R267="-","",INDEX('Inventaire M-1'!$A$2:$AG$9334,MATCH(R267,'Inventaire M-1'!$A:$A,0)-1,MATCH("Cours EUR",'Inventaire M-1'!#REF!,0)))</f>
        <v>#REF!</v>
      </c>
      <c r="V267" s="175" t="str">
        <f>IF(R267="-","",IF(ISERROR(INDEX('Inventaire M'!$A$2:$AD$9319,MATCH(R267,'Inventaire M'!$A:$A,0)-1,MATCH("Cours EUR",'Inventaire M'!#REF!,0))),"Sell",INDEX('Inventaire M'!$A$2:$AD$9319,MATCH(R267,'Inventaire M'!$A:$A,0)-1,MATCH("Cours EUR",'Inventaire M'!#REF!,0))))</f>
        <v>Sell</v>
      </c>
      <c r="W267" s="175"/>
      <c r="X267" s="156" t="e">
        <f>IF(R267="-","",INDEX('Inventaire M-1'!$A$2:$AG$9334,MATCH(R267,'Inventaire M-1'!$A:$A,0)-1,MATCH("quantite",'Inventaire M-1'!#REF!,0)))</f>
        <v>#REF!</v>
      </c>
      <c r="Y267" s="156" t="str">
        <f>IF(S267="-","",IF(ISERROR(INDEX('Inventaire M'!$A$2:$AD$9319,MATCH(R267,'Inventaire M'!$A:$A,0)-1,MATCH("quantite",'Inventaire M'!#REF!,0))),"Sell",INDEX('Inventaire M'!$A$2:$AD$9319,MATCH(R267,'Inventaire M'!$A:$A,0)-1,MATCH("quantite",'Inventaire M'!#REF!,0))))</f>
        <v>Sell</v>
      </c>
      <c r="Z267" s="175"/>
      <c r="AA267" s="155" t="e">
        <f>IF(R267="-","",INDEX('Inventaire M-1'!$A$2:$AG$9334,MATCH(R267,'Inventaire M-1'!$A:$A,0)-1,MATCH("poids",'Inventaire M-1'!#REF!,0)))</f>
        <v>#REF!</v>
      </c>
      <c r="AB267" s="155" t="str">
        <f>IF(R267="-","",IF(ISERROR(INDEX('Inventaire M'!$A$2:$AD$9319,MATCH(R267,'Inventaire M'!$A:$A,0)-1,MATCH("poids",'Inventaire M'!#REF!,0))),"Sell",INDEX('Inventaire M'!$A$2:$AD$9319,MATCH(R267,'Inventaire M'!$A:$A,0)-1,MATCH("poids",'Inventaire M'!#REF!,0))))</f>
        <v>Sell</v>
      </c>
      <c r="AC267" s="175"/>
      <c r="AD267" s="157" t="str">
        <f t="shared" si="27"/>
        <v>0</v>
      </c>
      <c r="AE267" s="98" t="str">
        <f t="shared" si="28"/>
        <v/>
      </c>
      <c r="AF267" s="80" t="str">
        <f t="shared" si="29"/>
        <v>ILIAD SA 4.25 15/12/2029</v>
      </c>
    </row>
    <row r="268" spans="2:32" outlineLevel="1">
      <c r="B268" s="175" t="str">
        <f>IF(OR('Inventaire M'!D46="Dispo/Liquidité Investie",'Inventaire M'!D46="Option/Future",'Inventaire M'!D46="TCN",'Inventaire M'!D46=""),"-",'Inventaire M'!A46)</f>
        <v>XS2287912450</v>
      </c>
      <c r="C268" s="175" t="str">
        <f>IF(OR('Inventaire M'!D46="Dispo/Liquidité Investie",'Inventaire M'!D46="Option/Future",'Inventaire M'!D46="TCN",'Inventaire M'!D46=""),"-",'Inventaire M'!B46)</f>
        <v>VERISURE MIDHOLDING AB 5.25 15/02/2029</v>
      </c>
      <c r="D268" s="175"/>
      <c r="E268" s="175" t="e">
        <f>IF(B268="-","",INDEX('Inventaire M'!$A$2:$AW$9305,MATCH(B268,'Inventaire M'!$A:$A,0)-1,MATCH("Cours EUR",'Inventaire M'!#REF!,0)))</f>
        <v>#REF!</v>
      </c>
      <c r="F268" s="175" t="str">
        <f>IF(B268="-","",IF(ISERROR(INDEX('Inventaire M-1'!$A$2:$AZ$9320,MATCH(B268,'Inventaire M-1'!$A:$A,0)-1,MATCH("Cours EUR",'Inventaire M-1'!#REF!,0))),"Buy",INDEX('Inventaire M-1'!$A$2:$AZ$9320,MATCH(B268,'Inventaire M-1'!$A:$A,0)-1,MATCH("Cours EUR",'Inventaire M-1'!#REF!,0))))</f>
        <v>Buy</v>
      </c>
      <c r="G268" s="175"/>
      <c r="H268" s="156" t="e">
        <f>IF(B268="-","",INDEX('Inventaire M'!$A$2:$AW$9305,MATCH(B268,'Inventaire M'!$A:$A,0)-1,MATCH("quantite",'Inventaire M'!#REF!,0)))</f>
        <v>#REF!</v>
      </c>
      <c r="I268" s="156" t="str">
        <f>IF(C268="-","",IF(ISERROR(INDEX('Inventaire M-1'!$A$2:$AZ$9320,MATCH(B268,'Inventaire M-1'!$A:$A,0)-1,MATCH("quantite",'Inventaire M-1'!#REF!,0))),"Buy",INDEX('Inventaire M-1'!$A$2:$AZ$9320,MATCH(B268,'Inventaire M-1'!$A:$A,0)-1,MATCH("quantite",'Inventaire M-1'!#REF!,0))))</f>
        <v>Buy</v>
      </c>
      <c r="J268" s="175"/>
      <c r="K268" s="155" t="e">
        <f>IF(B268="-","",INDEX('Inventaire M'!$A$2:$AW$9305,MATCH(B268,'Inventaire M'!$A:$A,0)-1,MATCH("poids",'Inventaire M'!#REF!,0)))</f>
        <v>#REF!</v>
      </c>
      <c r="L268" s="155" t="str">
        <f>IF(B268="-","",IF(ISERROR(INDEX('Inventaire M-1'!$A$2:$AZ$9320,MATCH(B268,'Inventaire M-1'!$A:$A,0)-1,MATCH("poids",'Inventaire M-1'!#REF!,0))),"Buy",INDEX('Inventaire M-1'!$A$2:$AZ$9320,MATCH(B268,'Inventaire M-1'!$A:$A,0)-1,MATCH("poids",'Inventaire M-1'!#REF!,0))))</f>
        <v>Buy</v>
      </c>
      <c r="M268" s="175"/>
      <c r="N268" s="157" t="str">
        <f t="shared" si="24"/>
        <v>0</v>
      </c>
      <c r="O268" s="98" t="str">
        <f t="shared" si="25"/>
        <v/>
      </c>
      <c r="P268" s="80" t="str">
        <f t="shared" si="26"/>
        <v>VERISURE MIDHOLDING AB 5.25 15/02/2029</v>
      </c>
      <c r="Q268" s="75">
        <v>2.44E-8</v>
      </c>
      <c r="R268" s="175" t="str">
        <f>IF(OR('Inventaire M-1'!D21="Dispo/Liquidité Investie",'Inventaire M-1'!D21="Option/Future",'Inventaire M-1'!D21="TCN",'Inventaire M-1'!D21=""),"-",'Inventaire M-1'!A21)</f>
        <v>FR001400U3Q9</v>
      </c>
      <c r="S268" s="175" t="str">
        <f>IF(OR('Inventaire M-1'!D21="Dispo/Liquidité Investie",'Inventaire M-1'!D21="Option/Future",'Inventaire M-1'!D21="TCN",'Inventaire M-1'!D21=""),"-",'Inventaire M-1'!B21)</f>
        <v>ROQUETTE FRERES SA PERP</v>
      </c>
      <c r="T268" s="175"/>
      <c r="U268" s="175" t="e">
        <f>IF(R268="-","",INDEX('Inventaire M-1'!$A$2:$AG$9334,MATCH(R268,'Inventaire M-1'!$A:$A,0)-1,MATCH("Cours EUR",'Inventaire M-1'!#REF!,0)))</f>
        <v>#REF!</v>
      </c>
      <c r="V268" s="175" t="str">
        <f>IF(R268="-","",IF(ISERROR(INDEX('Inventaire M'!$A$2:$AD$9319,MATCH(R268,'Inventaire M'!$A:$A,0)-1,MATCH("Cours EUR",'Inventaire M'!#REF!,0))),"Sell",INDEX('Inventaire M'!$A$2:$AD$9319,MATCH(R268,'Inventaire M'!$A:$A,0)-1,MATCH("Cours EUR",'Inventaire M'!#REF!,0))))</f>
        <v>Sell</v>
      </c>
      <c r="W268" s="175"/>
      <c r="X268" s="156" t="e">
        <f>IF(R268="-","",INDEX('Inventaire M-1'!$A$2:$AG$9334,MATCH(R268,'Inventaire M-1'!$A:$A,0)-1,MATCH("quantite",'Inventaire M-1'!#REF!,0)))</f>
        <v>#REF!</v>
      </c>
      <c r="Y268" s="156" t="str">
        <f>IF(S268="-","",IF(ISERROR(INDEX('Inventaire M'!$A$2:$AD$9319,MATCH(R268,'Inventaire M'!$A:$A,0)-1,MATCH("quantite",'Inventaire M'!#REF!,0))),"Sell",INDEX('Inventaire M'!$A$2:$AD$9319,MATCH(R268,'Inventaire M'!$A:$A,0)-1,MATCH("quantite",'Inventaire M'!#REF!,0))))</f>
        <v>Sell</v>
      </c>
      <c r="Z268" s="175"/>
      <c r="AA268" s="155" t="e">
        <f>IF(R268="-","",INDEX('Inventaire M-1'!$A$2:$AG$9334,MATCH(R268,'Inventaire M-1'!$A:$A,0)-1,MATCH("poids",'Inventaire M-1'!#REF!,0)))</f>
        <v>#REF!</v>
      </c>
      <c r="AB268" s="155" t="str">
        <f>IF(R268="-","",IF(ISERROR(INDEX('Inventaire M'!$A$2:$AD$9319,MATCH(R268,'Inventaire M'!$A:$A,0)-1,MATCH("poids",'Inventaire M'!#REF!,0))),"Sell",INDEX('Inventaire M'!$A$2:$AD$9319,MATCH(R268,'Inventaire M'!$A:$A,0)-1,MATCH("poids",'Inventaire M'!#REF!,0))))</f>
        <v>Sell</v>
      </c>
      <c r="AC268" s="175"/>
      <c r="AD268" s="157" t="str">
        <f t="shared" si="27"/>
        <v>0</v>
      </c>
      <c r="AE268" s="98" t="str">
        <f t="shared" si="28"/>
        <v/>
      </c>
      <c r="AF268" s="80" t="str">
        <f t="shared" si="29"/>
        <v>ROQUETTE FRERES SA PERP</v>
      </c>
    </row>
    <row r="269" spans="2:32" outlineLevel="1">
      <c r="B269" s="175" t="str">
        <f>IF(OR('Inventaire M'!D47="Dispo/Liquidité Investie",'Inventaire M'!D47="Option/Future",'Inventaire M'!D47="TCN",'Inventaire M'!D47=""),"-",'Inventaire M'!A47)</f>
        <v>XS2289588837</v>
      </c>
      <c r="C269" s="175" t="str">
        <f>IF(OR('Inventaire M'!D47="Dispo/Liquidité Investie",'Inventaire M'!D47="Option/Future",'Inventaire M'!D47="TCN",'Inventaire M'!D47=""),"-",'Inventaire M'!B47)</f>
        <v>VERISURE HOLDING AB 3.25 15/02/2027</v>
      </c>
      <c r="D269" s="175"/>
      <c r="E269" s="175" t="e">
        <f>IF(B269="-","",INDEX('Inventaire M'!$A$2:$AW$9305,MATCH(B269,'Inventaire M'!$A:$A,0)-1,MATCH("Cours EUR",'Inventaire M'!#REF!,0)))</f>
        <v>#REF!</v>
      </c>
      <c r="F269" s="175" t="str">
        <f>IF(B269="-","",IF(ISERROR(INDEX('Inventaire M-1'!$A$2:$AZ$9320,MATCH(B269,'Inventaire M-1'!$A:$A,0)-1,MATCH("Cours EUR",'Inventaire M-1'!#REF!,0))),"Buy",INDEX('Inventaire M-1'!$A$2:$AZ$9320,MATCH(B269,'Inventaire M-1'!$A:$A,0)-1,MATCH("Cours EUR",'Inventaire M-1'!#REF!,0))))</f>
        <v>Buy</v>
      </c>
      <c r="G269" s="175"/>
      <c r="H269" s="156" t="e">
        <f>IF(B269="-","",INDEX('Inventaire M'!$A$2:$AW$9305,MATCH(B269,'Inventaire M'!$A:$A,0)-1,MATCH("quantite",'Inventaire M'!#REF!,0)))</f>
        <v>#REF!</v>
      </c>
      <c r="I269" s="156" t="str">
        <f>IF(C269="-","",IF(ISERROR(INDEX('Inventaire M-1'!$A$2:$AZ$9320,MATCH(B269,'Inventaire M-1'!$A:$A,0)-1,MATCH("quantite",'Inventaire M-1'!#REF!,0))),"Buy",INDEX('Inventaire M-1'!$A$2:$AZ$9320,MATCH(B269,'Inventaire M-1'!$A:$A,0)-1,MATCH("quantite",'Inventaire M-1'!#REF!,0))))</f>
        <v>Buy</v>
      </c>
      <c r="J269" s="175"/>
      <c r="K269" s="155" t="e">
        <f>IF(B269="-","",INDEX('Inventaire M'!$A$2:$AW$9305,MATCH(B269,'Inventaire M'!$A:$A,0)-1,MATCH("poids",'Inventaire M'!#REF!,0)))</f>
        <v>#REF!</v>
      </c>
      <c r="L269" s="155" t="str">
        <f>IF(B269="-","",IF(ISERROR(INDEX('Inventaire M-1'!$A$2:$AZ$9320,MATCH(B269,'Inventaire M-1'!$A:$A,0)-1,MATCH("poids",'Inventaire M-1'!#REF!,0))),"Buy",INDEX('Inventaire M-1'!$A$2:$AZ$9320,MATCH(B269,'Inventaire M-1'!$A:$A,0)-1,MATCH("poids",'Inventaire M-1'!#REF!,0))))</f>
        <v>Buy</v>
      </c>
      <c r="M269" s="175"/>
      <c r="N269" s="157" t="str">
        <f t="shared" si="24"/>
        <v>0</v>
      </c>
      <c r="O269" s="98" t="str">
        <f t="shared" si="25"/>
        <v/>
      </c>
      <c r="P269" s="80" t="str">
        <f t="shared" si="26"/>
        <v>VERISURE HOLDING AB 3.25 15/02/2027</v>
      </c>
      <c r="Q269" s="75">
        <v>2.4500000000000001E-8</v>
      </c>
      <c r="R269" s="175" t="str">
        <f>IF(OR('Inventaire M-1'!D22="Dispo/Liquidité Investie",'Inventaire M-1'!D22="Option/Future",'Inventaire M-1'!D22="TCN",'Inventaire M-1'!D22=""),"-",'Inventaire M-1'!A22)</f>
        <v>FR001400WJR8</v>
      </c>
      <c r="S269" s="175" t="str">
        <f>IF(OR('Inventaire M-1'!D22="Dispo/Liquidité Investie",'Inventaire M-1'!D22="Option/Future",'Inventaire M-1'!D22="TCN",'Inventaire M-1'!D22=""),"-",'Inventaire M-1'!B22)</f>
        <v>VALEO SE 5.125 20/05/2031</v>
      </c>
      <c r="T269" s="175"/>
      <c r="U269" s="175" t="e">
        <f>IF(R269="-","",INDEX('Inventaire M-1'!$A$2:$AG$9334,MATCH(R269,'Inventaire M-1'!$A:$A,0)-1,MATCH("Cours EUR",'Inventaire M-1'!#REF!,0)))</f>
        <v>#REF!</v>
      </c>
      <c r="V269" s="175" t="str">
        <f>IF(R269="-","",IF(ISERROR(INDEX('Inventaire M'!$A$2:$AD$9319,MATCH(R269,'Inventaire M'!$A:$A,0)-1,MATCH("Cours EUR",'Inventaire M'!#REF!,0))),"Sell",INDEX('Inventaire M'!$A$2:$AD$9319,MATCH(R269,'Inventaire M'!$A:$A,0)-1,MATCH("Cours EUR",'Inventaire M'!#REF!,0))))</f>
        <v>Sell</v>
      </c>
      <c r="W269" s="175"/>
      <c r="X269" s="156" t="e">
        <f>IF(R269="-","",INDEX('Inventaire M-1'!$A$2:$AG$9334,MATCH(R269,'Inventaire M-1'!$A:$A,0)-1,MATCH("quantite",'Inventaire M-1'!#REF!,0)))</f>
        <v>#REF!</v>
      </c>
      <c r="Y269" s="156" t="str">
        <f>IF(S269="-","",IF(ISERROR(INDEX('Inventaire M'!$A$2:$AD$9319,MATCH(R269,'Inventaire M'!$A:$A,0)-1,MATCH("quantite",'Inventaire M'!#REF!,0))),"Sell",INDEX('Inventaire M'!$A$2:$AD$9319,MATCH(R269,'Inventaire M'!$A:$A,0)-1,MATCH("quantite",'Inventaire M'!#REF!,0))))</f>
        <v>Sell</v>
      </c>
      <c r="Z269" s="175"/>
      <c r="AA269" s="155" t="e">
        <f>IF(R269="-","",INDEX('Inventaire M-1'!$A$2:$AG$9334,MATCH(R269,'Inventaire M-1'!$A:$A,0)-1,MATCH("poids",'Inventaire M-1'!#REF!,0)))</f>
        <v>#REF!</v>
      </c>
      <c r="AB269" s="155" t="str">
        <f>IF(R269="-","",IF(ISERROR(INDEX('Inventaire M'!$A$2:$AD$9319,MATCH(R269,'Inventaire M'!$A:$A,0)-1,MATCH("poids",'Inventaire M'!#REF!,0))),"Sell",INDEX('Inventaire M'!$A$2:$AD$9319,MATCH(R269,'Inventaire M'!$A:$A,0)-1,MATCH("poids",'Inventaire M'!#REF!,0))))</f>
        <v>Sell</v>
      </c>
      <c r="AC269" s="175"/>
      <c r="AD269" s="157" t="str">
        <f t="shared" si="27"/>
        <v>0</v>
      </c>
      <c r="AE269" s="98" t="str">
        <f t="shared" si="28"/>
        <v/>
      </c>
      <c r="AF269" s="80" t="str">
        <f t="shared" si="29"/>
        <v>VALEO SE 5.125 20/05/2031</v>
      </c>
    </row>
    <row r="270" spans="2:32" outlineLevel="1">
      <c r="B270" s="175" t="str">
        <f>IF(OR('Inventaire M'!D48="Dispo/Liquidité Investie",'Inventaire M'!D48="Option/Future",'Inventaire M'!D48="TCN",'Inventaire M'!D48=""),"-",'Inventaire M'!A48)</f>
        <v>XS2290533020</v>
      </c>
      <c r="C270" s="175" t="str">
        <f>IF(OR('Inventaire M'!D48="Dispo/Liquidité Investie",'Inventaire M'!D48="Option/Future",'Inventaire M'!D48="TCN",'Inventaire M'!D48=""),"-",'Inventaire M'!B48)</f>
        <v>CPI PROPERTY GROUP SA PERP</v>
      </c>
      <c r="D270" s="175"/>
      <c r="E270" s="175" t="e">
        <f>IF(B270="-","",INDEX('Inventaire M'!$A$2:$AW$9305,MATCH(B270,'Inventaire M'!$A:$A,0)-1,MATCH("Cours EUR",'Inventaire M'!#REF!,0)))</f>
        <v>#REF!</v>
      </c>
      <c r="F270" s="175" t="str">
        <f>IF(B270="-","",IF(ISERROR(INDEX('Inventaire M-1'!$A$2:$AZ$9320,MATCH(B270,'Inventaire M-1'!$A:$A,0)-1,MATCH("Cours EUR",'Inventaire M-1'!#REF!,0))),"Buy",INDEX('Inventaire M-1'!$A$2:$AZ$9320,MATCH(B270,'Inventaire M-1'!$A:$A,0)-1,MATCH("Cours EUR",'Inventaire M-1'!#REF!,0))))</f>
        <v>Buy</v>
      </c>
      <c r="G270" s="175"/>
      <c r="H270" s="156" t="e">
        <f>IF(B270="-","",INDEX('Inventaire M'!$A$2:$AW$9305,MATCH(B270,'Inventaire M'!$A:$A,0)-1,MATCH("quantite",'Inventaire M'!#REF!,0)))</f>
        <v>#REF!</v>
      </c>
      <c r="I270" s="156" t="str">
        <f>IF(C270="-","",IF(ISERROR(INDEX('Inventaire M-1'!$A$2:$AZ$9320,MATCH(B270,'Inventaire M-1'!$A:$A,0)-1,MATCH("quantite",'Inventaire M-1'!#REF!,0))),"Buy",INDEX('Inventaire M-1'!$A$2:$AZ$9320,MATCH(B270,'Inventaire M-1'!$A:$A,0)-1,MATCH("quantite",'Inventaire M-1'!#REF!,0))))</f>
        <v>Buy</v>
      </c>
      <c r="J270" s="175"/>
      <c r="K270" s="155" t="e">
        <f>IF(B270="-","",INDEX('Inventaire M'!$A$2:$AW$9305,MATCH(B270,'Inventaire M'!$A:$A,0)-1,MATCH("poids",'Inventaire M'!#REF!,0)))</f>
        <v>#REF!</v>
      </c>
      <c r="L270" s="155" t="str">
        <f>IF(B270="-","",IF(ISERROR(INDEX('Inventaire M-1'!$A$2:$AZ$9320,MATCH(B270,'Inventaire M-1'!$A:$A,0)-1,MATCH("poids",'Inventaire M-1'!#REF!,0))),"Buy",INDEX('Inventaire M-1'!$A$2:$AZ$9320,MATCH(B270,'Inventaire M-1'!$A:$A,0)-1,MATCH("poids",'Inventaire M-1'!#REF!,0))))</f>
        <v>Buy</v>
      </c>
      <c r="M270" s="175"/>
      <c r="N270" s="157" t="str">
        <f t="shared" si="24"/>
        <v>0</v>
      </c>
      <c r="O270" s="98" t="str">
        <f t="shared" si="25"/>
        <v/>
      </c>
      <c r="P270" s="80" t="str">
        <f t="shared" si="26"/>
        <v>CPI PROPERTY GROUP SA PERP</v>
      </c>
      <c r="Q270" s="75">
        <v>2.4599999999999999E-8</v>
      </c>
      <c r="R270" s="175" t="str">
        <f>IF(OR('Inventaire M-1'!D23="Dispo/Liquidité Investie",'Inventaire M-1'!D23="Option/Future",'Inventaire M-1'!D23="TCN",'Inventaire M-1'!D23=""),"-",'Inventaire M-1'!A23)</f>
        <v>FR001400Y8Z5</v>
      </c>
      <c r="S270" s="175" t="str">
        <f>IF(OR('Inventaire M-1'!D23="Dispo/Liquidité Investie",'Inventaire M-1'!D23="Option/Future",'Inventaire M-1'!D23="TCN",'Inventaire M-1'!D23=""),"-",'Inventaire M-1'!B23)</f>
        <v>UNIBAIL-RODAMCO-WESTFIELD SE PERP</v>
      </c>
      <c r="T270" s="175"/>
      <c r="U270" s="175" t="e">
        <f>IF(R270="-","",INDEX('Inventaire M-1'!$A$2:$AG$9334,MATCH(R270,'Inventaire M-1'!$A:$A,0)-1,MATCH("Cours EUR",'Inventaire M-1'!#REF!,0)))</f>
        <v>#REF!</v>
      </c>
      <c r="V270" s="175" t="str">
        <f>IF(R270="-","",IF(ISERROR(INDEX('Inventaire M'!$A$2:$AD$9319,MATCH(R270,'Inventaire M'!$A:$A,0)-1,MATCH("Cours EUR",'Inventaire M'!#REF!,0))),"Sell",INDEX('Inventaire M'!$A$2:$AD$9319,MATCH(R270,'Inventaire M'!$A:$A,0)-1,MATCH("Cours EUR",'Inventaire M'!#REF!,0))))</f>
        <v>Sell</v>
      </c>
      <c r="W270" s="175"/>
      <c r="X270" s="156" t="e">
        <f>IF(R270="-","",INDEX('Inventaire M-1'!$A$2:$AG$9334,MATCH(R270,'Inventaire M-1'!$A:$A,0)-1,MATCH("quantite",'Inventaire M-1'!#REF!,0)))</f>
        <v>#REF!</v>
      </c>
      <c r="Y270" s="156" t="str">
        <f>IF(S270="-","",IF(ISERROR(INDEX('Inventaire M'!$A$2:$AD$9319,MATCH(R270,'Inventaire M'!$A:$A,0)-1,MATCH("quantite",'Inventaire M'!#REF!,0))),"Sell",INDEX('Inventaire M'!$A$2:$AD$9319,MATCH(R270,'Inventaire M'!$A:$A,0)-1,MATCH("quantite",'Inventaire M'!#REF!,0))))</f>
        <v>Sell</v>
      </c>
      <c r="Z270" s="175"/>
      <c r="AA270" s="155" t="e">
        <f>IF(R270="-","",INDEX('Inventaire M-1'!$A$2:$AG$9334,MATCH(R270,'Inventaire M-1'!$A:$A,0)-1,MATCH("poids",'Inventaire M-1'!#REF!,0)))</f>
        <v>#REF!</v>
      </c>
      <c r="AB270" s="155" t="str">
        <f>IF(R270="-","",IF(ISERROR(INDEX('Inventaire M'!$A$2:$AD$9319,MATCH(R270,'Inventaire M'!$A:$A,0)-1,MATCH("poids",'Inventaire M'!#REF!,0))),"Sell",INDEX('Inventaire M'!$A$2:$AD$9319,MATCH(R270,'Inventaire M'!$A:$A,0)-1,MATCH("poids",'Inventaire M'!#REF!,0))))</f>
        <v>Sell</v>
      </c>
      <c r="AC270" s="175"/>
      <c r="AD270" s="157" t="str">
        <f t="shared" si="27"/>
        <v>0</v>
      </c>
      <c r="AE270" s="98" t="str">
        <f t="shared" si="28"/>
        <v/>
      </c>
      <c r="AF270" s="80" t="str">
        <f t="shared" si="29"/>
        <v>UNIBAIL-RODAMCO-WESTFIELD SE PERP</v>
      </c>
    </row>
    <row r="271" spans="2:32" outlineLevel="1">
      <c r="B271" s="175" t="str">
        <f>IF(OR('Inventaire M'!D49="Dispo/Liquidité Investie",'Inventaire M'!D49="Option/Future",'Inventaire M'!D49="TCN",'Inventaire M'!D49=""),"-",'Inventaire M'!A49)</f>
        <v>XS2293060658</v>
      </c>
      <c r="C271" s="175" t="str">
        <f>IF(OR('Inventaire M'!D49="Dispo/Liquidité Investie",'Inventaire M'!D49="Option/Future",'Inventaire M'!D49="TCN",'Inventaire M'!D49=""),"-",'Inventaire M'!B49)</f>
        <v>TELEFONICA EUROPE BV PERP</v>
      </c>
      <c r="D271" s="175"/>
      <c r="E271" s="175" t="e">
        <f>IF(B271="-","",INDEX('Inventaire M'!$A$2:$AW$9305,MATCH(B271,'Inventaire M'!$A:$A,0)-1,MATCH("Cours EUR",'Inventaire M'!#REF!,0)))</f>
        <v>#REF!</v>
      </c>
      <c r="F271" s="175" t="str">
        <f>IF(B271="-","",IF(ISERROR(INDEX('Inventaire M-1'!$A$2:$AZ$9320,MATCH(B271,'Inventaire M-1'!$A:$A,0)-1,MATCH("Cours EUR",'Inventaire M-1'!#REF!,0))),"Buy",INDEX('Inventaire M-1'!$A$2:$AZ$9320,MATCH(B271,'Inventaire M-1'!$A:$A,0)-1,MATCH("Cours EUR",'Inventaire M-1'!#REF!,0))))</f>
        <v>Buy</v>
      </c>
      <c r="G271" s="175"/>
      <c r="H271" s="156" t="e">
        <f>IF(B271="-","",INDEX('Inventaire M'!$A$2:$AW$9305,MATCH(B271,'Inventaire M'!$A:$A,0)-1,MATCH("quantite",'Inventaire M'!#REF!,0)))</f>
        <v>#REF!</v>
      </c>
      <c r="I271" s="156" t="str">
        <f>IF(C271="-","",IF(ISERROR(INDEX('Inventaire M-1'!$A$2:$AZ$9320,MATCH(B271,'Inventaire M-1'!$A:$A,0)-1,MATCH("quantite",'Inventaire M-1'!#REF!,0))),"Buy",INDEX('Inventaire M-1'!$A$2:$AZ$9320,MATCH(B271,'Inventaire M-1'!$A:$A,0)-1,MATCH("quantite",'Inventaire M-1'!#REF!,0))))</f>
        <v>Buy</v>
      </c>
      <c r="J271" s="175"/>
      <c r="K271" s="155" t="e">
        <f>IF(B271="-","",INDEX('Inventaire M'!$A$2:$AW$9305,MATCH(B271,'Inventaire M'!$A:$A,0)-1,MATCH("poids",'Inventaire M'!#REF!,0)))</f>
        <v>#REF!</v>
      </c>
      <c r="L271" s="155" t="str">
        <f>IF(B271="-","",IF(ISERROR(INDEX('Inventaire M-1'!$A$2:$AZ$9320,MATCH(B271,'Inventaire M-1'!$A:$A,0)-1,MATCH("poids",'Inventaire M-1'!#REF!,0))),"Buy",INDEX('Inventaire M-1'!$A$2:$AZ$9320,MATCH(B271,'Inventaire M-1'!$A:$A,0)-1,MATCH("poids",'Inventaire M-1'!#REF!,0))))</f>
        <v>Buy</v>
      </c>
      <c r="M271" s="175"/>
      <c r="N271" s="157" t="str">
        <f t="shared" si="24"/>
        <v>0</v>
      </c>
      <c r="O271" s="98" t="str">
        <f t="shared" si="25"/>
        <v/>
      </c>
      <c r="P271" s="80" t="str">
        <f t="shared" si="26"/>
        <v>TELEFONICA EUROPE BV PERP</v>
      </c>
      <c r="Q271" s="75">
        <v>2.4699999999999999E-8</v>
      </c>
      <c r="R271" s="175" t="str">
        <f>IF(OR('Inventaire M-1'!D24="Dispo/Liquidité Investie",'Inventaire M-1'!D24="Option/Future",'Inventaire M-1'!D24="TCN",'Inventaire M-1'!D24=""),"-",'Inventaire M-1'!A24)</f>
        <v>FR001400ZYD0</v>
      </c>
      <c r="S271" s="175" t="str">
        <f>IF(OR('Inventaire M-1'!D24="Dispo/Liquidité Investie",'Inventaire M-1'!D24="Option/Future",'Inventaire M-1'!D24="TCN",'Inventaire M-1'!D24=""),"-",'Inventaire M-1'!B24)</f>
        <v>SPIE SA 3.75 28/05/2030</v>
      </c>
      <c r="T271" s="175"/>
      <c r="U271" s="175" t="e">
        <f>IF(R271="-","",INDEX('Inventaire M-1'!$A$2:$AG$9334,MATCH(R271,'Inventaire M-1'!$A:$A,0)-1,MATCH("Cours EUR",'Inventaire M-1'!#REF!,0)))</f>
        <v>#REF!</v>
      </c>
      <c r="V271" s="175" t="str">
        <f>IF(R271="-","",IF(ISERROR(INDEX('Inventaire M'!$A$2:$AD$9319,MATCH(R271,'Inventaire M'!$A:$A,0)-1,MATCH("Cours EUR",'Inventaire M'!#REF!,0))),"Sell",INDEX('Inventaire M'!$A$2:$AD$9319,MATCH(R271,'Inventaire M'!$A:$A,0)-1,MATCH("Cours EUR",'Inventaire M'!#REF!,0))))</f>
        <v>Sell</v>
      </c>
      <c r="W271" s="175"/>
      <c r="X271" s="156" t="e">
        <f>IF(R271="-","",INDEX('Inventaire M-1'!$A$2:$AG$9334,MATCH(R271,'Inventaire M-1'!$A:$A,0)-1,MATCH("quantite",'Inventaire M-1'!#REF!,0)))</f>
        <v>#REF!</v>
      </c>
      <c r="Y271" s="156" t="str">
        <f>IF(S271="-","",IF(ISERROR(INDEX('Inventaire M'!$A$2:$AD$9319,MATCH(R271,'Inventaire M'!$A:$A,0)-1,MATCH("quantite",'Inventaire M'!#REF!,0))),"Sell",INDEX('Inventaire M'!$A$2:$AD$9319,MATCH(R271,'Inventaire M'!$A:$A,0)-1,MATCH("quantite",'Inventaire M'!#REF!,0))))</f>
        <v>Sell</v>
      </c>
      <c r="Z271" s="175"/>
      <c r="AA271" s="155" t="e">
        <f>IF(R271="-","",INDEX('Inventaire M-1'!$A$2:$AG$9334,MATCH(R271,'Inventaire M-1'!$A:$A,0)-1,MATCH("poids",'Inventaire M-1'!#REF!,0)))</f>
        <v>#REF!</v>
      </c>
      <c r="AB271" s="155" t="str">
        <f>IF(R271="-","",IF(ISERROR(INDEX('Inventaire M'!$A$2:$AD$9319,MATCH(R271,'Inventaire M'!$A:$A,0)-1,MATCH("poids",'Inventaire M'!#REF!,0))),"Sell",INDEX('Inventaire M'!$A$2:$AD$9319,MATCH(R271,'Inventaire M'!$A:$A,0)-1,MATCH("poids",'Inventaire M'!#REF!,0))))</f>
        <v>Sell</v>
      </c>
      <c r="AC271" s="175"/>
      <c r="AD271" s="157" t="str">
        <f t="shared" si="27"/>
        <v>0</v>
      </c>
      <c r="AE271" s="98" t="str">
        <f t="shared" si="28"/>
        <v/>
      </c>
      <c r="AF271" s="80" t="str">
        <f t="shared" si="29"/>
        <v>SPIE SA 3.75 28/05/2030</v>
      </c>
    </row>
    <row r="272" spans="2:32" outlineLevel="1">
      <c r="B272" s="175" t="str">
        <f>IF(OR('Inventaire M'!D50="Dispo/Liquidité Investie",'Inventaire M'!D50="Option/Future",'Inventaire M'!D50="TCN",'Inventaire M'!D50=""),"-",'Inventaire M'!A50)</f>
        <v>XS2305744059</v>
      </c>
      <c r="C272" s="175" t="str">
        <f>IF(OR('Inventaire M'!D50="Dispo/Liquidité Investie",'Inventaire M'!D50="Option/Future",'Inventaire M'!D50="TCN",'Inventaire M'!D50=""),"-",'Inventaire M'!B50)</f>
        <v>IQVIA INC 2.25 15/03/2029</v>
      </c>
      <c r="D272" s="175"/>
      <c r="E272" s="175" t="e">
        <f>IF(B272="-","",INDEX('Inventaire M'!$A$2:$AW$9305,MATCH(B272,'Inventaire M'!$A:$A,0)-1,MATCH("Cours EUR",'Inventaire M'!#REF!,0)))</f>
        <v>#REF!</v>
      </c>
      <c r="F272" s="175" t="str">
        <f>IF(B272="-","",IF(ISERROR(INDEX('Inventaire M-1'!$A$2:$AZ$9320,MATCH(B272,'Inventaire M-1'!$A:$A,0)-1,MATCH("Cours EUR",'Inventaire M-1'!#REF!,0))),"Buy",INDEX('Inventaire M-1'!$A$2:$AZ$9320,MATCH(B272,'Inventaire M-1'!$A:$A,0)-1,MATCH("Cours EUR",'Inventaire M-1'!#REF!,0))))</f>
        <v>Buy</v>
      </c>
      <c r="G272" s="175"/>
      <c r="H272" s="156" t="e">
        <f>IF(B272="-","",INDEX('Inventaire M'!$A$2:$AW$9305,MATCH(B272,'Inventaire M'!$A:$A,0)-1,MATCH("quantite",'Inventaire M'!#REF!,0)))</f>
        <v>#REF!</v>
      </c>
      <c r="I272" s="156" t="str">
        <f>IF(C272="-","",IF(ISERROR(INDEX('Inventaire M-1'!$A$2:$AZ$9320,MATCH(B272,'Inventaire M-1'!$A:$A,0)-1,MATCH("quantite",'Inventaire M-1'!#REF!,0))),"Buy",INDEX('Inventaire M-1'!$A$2:$AZ$9320,MATCH(B272,'Inventaire M-1'!$A:$A,0)-1,MATCH("quantite",'Inventaire M-1'!#REF!,0))))</f>
        <v>Buy</v>
      </c>
      <c r="J272" s="175"/>
      <c r="K272" s="155" t="e">
        <f>IF(B272="-","",INDEX('Inventaire M'!$A$2:$AW$9305,MATCH(B272,'Inventaire M'!$A:$A,0)-1,MATCH("poids",'Inventaire M'!#REF!,0)))</f>
        <v>#REF!</v>
      </c>
      <c r="L272" s="155" t="str">
        <f>IF(B272="-","",IF(ISERROR(INDEX('Inventaire M-1'!$A$2:$AZ$9320,MATCH(B272,'Inventaire M-1'!$A:$A,0)-1,MATCH("poids",'Inventaire M-1'!#REF!,0))),"Buy",INDEX('Inventaire M-1'!$A$2:$AZ$9320,MATCH(B272,'Inventaire M-1'!$A:$A,0)-1,MATCH("poids",'Inventaire M-1'!#REF!,0))))</f>
        <v>Buy</v>
      </c>
      <c r="M272" s="175"/>
      <c r="N272" s="157" t="str">
        <f t="shared" si="24"/>
        <v>0</v>
      </c>
      <c r="O272" s="98" t="str">
        <f t="shared" si="25"/>
        <v/>
      </c>
      <c r="P272" s="80" t="str">
        <f t="shared" si="26"/>
        <v>IQVIA INC 2.25 15/03/2029</v>
      </c>
      <c r="Q272" s="75">
        <v>2.48E-8</v>
      </c>
      <c r="R272" s="175" t="str">
        <f>IF(OR('Inventaire M-1'!D25="Dispo/Liquidité Investie",'Inventaire M-1'!D25="Option/Future",'Inventaire M-1'!D25="TCN",'Inventaire M-1'!D25=""),"-",'Inventaire M-1'!A25)</f>
        <v>PTEDPSOM0002</v>
      </c>
      <c r="S272" s="175" t="str">
        <f>IF(OR('Inventaire M-1'!D25="Dispo/Liquidité Investie",'Inventaire M-1'!D25="Option/Future",'Inventaire M-1'!D25="TCN",'Inventaire M-1'!D25=""),"-",'Inventaire M-1'!B25)</f>
        <v>EDP SA 16/09/2054</v>
      </c>
      <c r="T272" s="175"/>
      <c r="U272" s="175" t="e">
        <f>IF(R272="-","",INDEX('Inventaire M-1'!$A$2:$AG$9334,MATCH(R272,'Inventaire M-1'!$A:$A,0)-1,MATCH("Cours EUR",'Inventaire M-1'!#REF!,0)))</f>
        <v>#REF!</v>
      </c>
      <c r="V272" s="175" t="str">
        <f>IF(R272="-","",IF(ISERROR(INDEX('Inventaire M'!$A$2:$AD$9319,MATCH(R272,'Inventaire M'!$A:$A,0)-1,MATCH("Cours EUR",'Inventaire M'!#REF!,0))),"Sell",INDEX('Inventaire M'!$A$2:$AD$9319,MATCH(R272,'Inventaire M'!$A:$A,0)-1,MATCH("Cours EUR",'Inventaire M'!#REF!,0))))</f>
        <v>Sell</v>
      </c>
      <c r="W272" s="175"/>
      <c r="X272" s="156" t="e">
        <f>IF(R272="-","",INDEX('Inventaire M-1'!$A$2:$AG$9334,MATCH(R272,'Inventaire M-1'!$A:$A,0)-1,MATCH("quantite",'Inventaire M-1'!#REF!,0)))</f>
        <v>#REF!</v>
      </c>
      <c r="Y272" s="156" t="str">
        <f>IF(S272="-","",IF(ISERROR(INDEX('Inventaire M'!$A$2:$AD$9319,MATCH(R272,'Inventaire M'!$A:$A,0)-1,MATCH("quantite",'Inventaire M'!#REF!,0))),"Sell",INDEX('Inventaire M'!$A$2:$AD$9319,MATCH(R272,'Inventaire M'!$A:$A,0)-1,MATCH("quantite",'Inventaire M'!#REF!,0))))</f>
        <v>Sell</v>
      </c>
      <c r="Z272" s="175"/>
      <c r="AA272" s="155" t="e">
        <f>IF(R272="-","",INDEX('Inventaire M-1'!$A$2:$AG$9334,MATCH(R272,'Inventaire M-1'!$A:$A,0)-1,MATCH("poids",'Inventaire M-1'!#REF!,0)))</f>
        <v>#REF!</v>
      </c>
      <c r="AB272" s="155" t="str">
        <f>IF(R272="-","",IF(ISERROR(INDEX('Inventaire M'!$A$2:$AD$9319,MATCH(R272,'Inventaire M'!$A:$A,0)-1,MATCH("poids",'Inventaire M'!#REF!,0))),"Sell",INDEX('Inventaire M'!$A$2:$AD$9319,MATCH(R272,'Inventaire M'!$A:$A,0)-1,MATCH("poids",'Inventaire M'!#REF!,0))))</f>
        <v>Sell</v>
      </c>
      <c r="AC272" s="175"/>
      <c r="AD272" s="157" t="str">
        <f t="shared" si="27"/>
        <v>0</v>
      </c>
      <c r="AE272" s="98" t="str">
        <f t="shared" si="28"/>
        <v/>
      </c>
      <c r="AF272" s="80" t="str">
        <f t="shared" si="29"/>
        <v>EDP SA 16/09/2054</v>
      </c>
    </row>
    <row r="273" spans="2:32" outlineLevel="1">
      <c r="B273" s="175" t="str">
        <f>IF(OR('Inventaire M'!D51="Dispo/Liquidité Investie",'Inventaire M'!D51="Option/Future",'Inventaire M'!D51="TCN",'Inventaire M'!D51=""),"-",'Inventaire M'!A51)</f>
        <v>XS2332250708</v>
      </c>
      <c r="C273" s="175" t="str">
        <f>IF(OR('Inventaire M'!D51="Dispo/Liquidité Investie",'Inventaire M'!D51="Option/Future",'Inventaire M'!D51="TCN",'Inventaire M'!D51=""),"-",'Inventaire M'!B51)</f>
        <v>ORGANON &amp; CO/ORG 2.875 30/04/2028</v>
      </c>
      <c r="D273" s="175"/>
      <c r="E273" s="175" t="e">
        <f>IF(B273="-","",INDEX('Inventaire M'!$A$2:$AW$9305,MATCH(B273,'Inventaire M'!$A:$A,0)-1,MATCH("Cours EUR",'Inventaire M'!#REF!,0)))</f>
        <v>#REF!</v>
      </c>
      <c r="F273" s="175" t="str">
        <f>IF(B273="-","",IF(ISERROR(INDEX('Inventaire M-1'!$A$2:$AZ$9320,MATCH(B273,'Inventaire M-1'!$A:$A,0)-1,MATCH("Cours EUR",'Inventaire M-1'!#REF!,0))),"Buy",INDEX('Inventaire M-1'!$A$2:$AZ$9320,MATCH(B273,'Inventaire M-1'!$A:$A,0)-1,MATCH("Cours EUR",'Inventaire M-1'!#REF!,0))))</f>
        <v>Buy</v>
      </c>
      <c r="G273" s="175"/>
      <c r="H273" s="156" t="e">
        <f>IF(B273="-","",INDEX('Inventaire M'!$A$2:$AW$9305,MATCH(B273,'Inventaire M'!$A:$A,0)-1,MATCH("quantite",'Inventaire M'!#REF!,0)))</f>
        <v>#REF!</v>
      </c>
      <c r="I273" s="156" t="str">
        <f>IF(C273="-","",IF(ISERROR(INDEX('Inventaire M-1'!$A$2:$AZ$9320,MATCH(B273,'Inventaire M-1'!$A:$A,0)-1,MATCH("quantite",'Inventaire M-1'!#REF!,0))),"Buy",INDEX('Inventaire M-1'!$A$2:$AZ$9320,MATCH(B273,'Inventaire M-1'!$A:$A,0)-1,MATCH("quantite",'Inventaire M-1'!#REF!,0))))</f>
        <v>Buy</v>
      </c>
      <c r="J273" s="175"/>
      <c r="K273" s="155" t="e">
        <f>IF(B273="-","",INDEX('Inventaire M'!$A$2:$AW$9305,MATCH(B273,'Inventaire M'!$A:$A,0)-1,MATCH("poids",'Inventaire M'!#REF!,0)))</f>
        <v>#REF!</v>
      </c>
      <c r="L273" s="155" t="str">
        <f>IF(B273="-","",IF(ISERROR(INDEX('Inventaire M-1'!$A$2:$AZ$9320,MATCH(B273,'Inventaire M-1'!$A:$A,0)-1,MATCH("poids",'Inventaire M-1'!#REF!,0))),"Buy",INDEX('Inventaire M-1'!$A$2:$AZ$9320,MATCH(B273,'Inventaire M-1'!$A:$A,0)-1,MATCH("poids",'Inventaire M-1'!#REF!,0))))</f>
        <v>Buy</v>
      </c>
      <c r="M273" s="175"/>
      <c r="N273" s="157" t="str">
        <f t="shared" si="24"/>
        <v>0</v>
      </c>
      <c r="O273" s="98" t="str">
        <f t="shared" si="25"/>
        <v/>
      </c>
      <c r="P273" s="80" t="str">
        <f t="shared" si="26"/>
        <v>ORGANON &amp; CO/ORG 2.875 30/04/2028</v>
      </c>
      <c r="Q273" s="75">
        <v>2.4900000000000001E-8</v>
      </c>
      <c r="R273" s="175" t="str">
        <f>IF(OR('Inventaire M-1'!D26="Dispo/Liquidité Investie",'Inventaire M-1'!D26="Option/Future",'Inventaire M-1'!D26="TCN",'Inventaire M-1'!D26=""),"-",'Inventaire M-1'!A26)</f>
        <v>PTEDPXOM0021</v>
      </c>
      <c r="S273" s="175" t="str">
        <f>IF(OR('Inventaire M-1'!D26="Dispo/Liquidité Investie",'Inventaire M-1'!D26="Option/Future",'Inventaire M-1'!D26="TCN",'Inventaire M-1'!D26=""),"-",'Inventaire M-1'!B26)</f>
        <v>EDP -  ENERGIAS DE PORTUGAL SA 14/03/2082</v>
      </c>
      <c r="T273" s="175"/>
      <c r="U273" s="175" t="e">
        <f>IF(R273="-","",INDEX('Inventaire M-1'!$A$2:$AG$9334,MATCH(R273,'Inventaire M-1'!$A:$A,0)-1,MATCH("Cours EUR",'Inventaire M-1'!#REF!,0)))</f>
        <v>#REF!</v>
      </c>
      <c r="V273" s="175" t="str">
        <f>IF(R273="-","",IF(ISERROR(INDEX('Inventaire M'!$A$2:$AD$9319,MATCH(R273,'Inventaire M'!$A:$A,0)-1,MATCH("Cours EUR",'Inventaire M'!#REF!,0))),"Sell",INDEX('Inventaire M'!$A$2:$AD$9319,MATCH(R273,'Inventaire M'!$A:$A,0)-1,MATCH("Cours EUR",'Inventaire M'!#REF!,0))))</f>
        <v>Sell</v>
      </c>
      <c r="W273" s="175"/>
      <c r="X273" s="156" t="e">
        <f>IF(R273="-","",INDEX('Inventaire M-1'!$A$2:$AG$9334,MATCH(R273,'Inventaire M-1'!$A:$A,0)-1,MATCH("quantite",'Inventaire M-1'!#REF!,0)))</f>
        <v>#REF!</v>
      </c>
      <c r="Y273" s="156" t="str">
        <f>IF(S273="-","",IF(ISERROR(INDEX('Inventaire M'!$A$2:$AD$9319,MATCH(R273,'Inventaire M'!$A:$A,0)-1,MATCH("quantite",'Inventaire M'!#REF!,0))),"Sell",INDEX('Inventaire M'!$A$2:$AD$9319,MATCH(R273,'Inventaire M'!$A:$A,0)-1,MATCH("quantite",'Inventaire M'!#REF!,0))))</f>
        <v>Sell</v>
      </c>
      <c r="Z273" s="175"/>
      <c r="AA273" s="155" t="e">
        <f>IF(R273="-","",INDEX('Inventaire M-1'!$A$2:$AG$9334,MATCH(R273,'Inventaire M-1'!$A:$A,0)-1,MATCH("poids",'Inventaire M-1'!#REF!,0)))</f>
        <v>#REF!</v>
      </c>
      <c r="AB273" s="155" t="str">
        <f>IF(R273="-","",IF(ISERROR(INDEX('Inventaire M'!$A$2:$AD$9319,MATCH(R273,'Inventaire M'!$A:$A,0)-1,MATCH("poids",'Inventaire M'!#REF!,0))),"Sell",INDEX('Inventaire M'!$A$2:$AD$9319,MATCH(R273,'Inventaire M'!$A:$A,0)-1,MATCH("poids",'Inventaire M'!#REF!,0))))</f>
        <v>Sell</v>
      </c>
      <c r="AC273" s="175"/>
      <c r="AD273" s="157" t="str">
        <f t="shared" si="27"/>
        <v>0</v>
      </c>
      <c r="AE273" s="98" t="str">
        <f t="shared" si="28"/>
        <v/>
      </c>
      <c r="AF273" s="80" t="str">
        <f t="shared" si="29"/>
        <v>EDP -  ENERGIAS DE PORTUGAL SA 14/03/2082</v>
      </c>
    </row>
    <row r="274" spans="2:32" outlineLevel="1">
      <c r="B274" s="175" t="str">
        <f>IF(OR('Inventaire M'!D52="Dispo/Liquidité Investie",'Inventaire M'!D52="Option/Future",'Inventaire M'!D52="TCN",'Inventaire M'!D52=""),"-",'Inventaire M'!A52)</f>
        <v>XS2335148024</v>
      </c>
      <c r="C274" s="175" t="str">
        <f>IF(OR('Inventaire M'!D52="Dispo/Liquidité Investie",'Inventaire M'!D52="Option/Future",'Inventaire M'!D52="TCN",'Inventaire M'!D52=""),"-",'Inventaire M'!B52)</f>
        <v>CONSTELLIUM SE (FRANCE) 3.125 15/07/2029</v>
      </c>
      <c r="D274" s="175"/>
      <c r="E274" s="175" t="e">
        <f>IF(B274="-","",INDEX('Inventaire M'!$A$2:$AW$9305,MATCH(B274,'Inventaire M'!$A:$A,0)-1,MATCH("Cours EUR",'Inventaire M'!#REF!,0)))</f>
        <v>#REF!</v>
      </c>
      <c r="F274" s="175" t="str">
        <f>IF(B274="-","",IF(ISERROR(INDEX('Inventaire M-1'!$A$2:$AZ$9320,MATCH(B274,'Inventaire M-1'!$A:$A,0)-1,MATCH("Cours EUR",'Inventaire M-1'!#REF!,0))),"Buy",INDEX('Inventaire M-1'!$A$2:$AZ$9320,MATCH(B274,'Inventaire M-1'!$A:$A,0)-1,MATCH("Cours EUR",'Inventaire M-1'!#REF!,0))))</f>
        <v>Buy</v>
      </c>
      <c r="G274" s="175"/>
      <c r="H274" s="156" t="e">
        <f>IF(B274="-","",INDEX('Inventaire M'!$A$2:$AW$9305,MATCH(B274,'Inventaire M'!$A:$A,0)-1,MATCH("quantite",'Inventaire M'!#REF!,0)))</f>
        <v>#REF!</v>
      </c>
      <c r="I274" s="156" t="str">
        <f>IF(C274="-","",IF(ISERROR(INDEX('Inventaire M-1'!$A$2:$AZ$9320,MATCH(B274,'Inventaire M-1'!$A:$A,0)-1,MATCH("quantite",'Inventaire M-1'!#REF!,0))),"Buy",INDEX('Inventaire M-1'!$A$2:$AZ$9320,MATCH(B274,'Inventaire M-1'!$A:$A,0)-1,MATCH("quantite",'Inventaire M-1'!#REF!,0))))</f>
        <v>Buy</v>
      </c>
      <c r="J274" s="175"/>
      <c r="K274" s="155" t="e">
        <f>IF(B274="-","",INDEX('Inventaire M'!$A$2:$AW$9305,MATCH(B274,'Inventaire M'!$A:$A,0)-1,MATCH("poids",'Inventaire M'!#REF!,0)))</f>
        <v>#REF!</v>
      </c>
      <c r="L274" s="155" t="str">
        <f>IF(B274="-","",IF(ISERROR(INDEX('Inventaire M-1'!$A$2:$AZ$9320,MATCH(B274,'Inventaire M-1'!$A:$A,0)-1,MATCH("poids",'Inventaire M-1'!#REF!,0))),"Buy",INDEX('Inventaire M-1'!$A$2:$AZ$9320,MATCH(B274,'Inventaire M-1'!$A:$A,0)-1,MATCH("poids",'Inventaire M-1'!#REF!,0))))</f>
        <v>Buy</v>
      </c>
      <c r="M274" s="175"/>
      <c r="N274" s="157" t="str">
        <f t="shared" si="24"/>
        <v>0</v>
      </c>
      <c r="O274" s="98" t="str">
        <f t="shared" si="25"/>
        <v/>
      </c>
      <c r="P274" s="80" t="str">
        <f t="shared" si="26"/>
        <v>CONSTELLIUM SE (FRANCE) 3.125 15/07/2029</v>
      </c>
      <c r="Q274" s="75">
        <v>2.4999999999999999E-8</v>
      </c>
      <c r="R274" s="175" t="str">
        <f>IF(OR('Inventaire M-1'!D27="Dispo/Liquidité Investie",'Inventaire M-1'!D27="Option/Future",'Inventaire M-1'!D27="TCN",'Inventaire M-1'!D27=""),"-",'Inventaire M-1'!A27)</f>
        <v>QS0000183546</v>
      </c>
      <c r="S274" s="175" t="str">
        <f>IF(OR('Inventaire M-1'!D27="Dispo/Liquidité Investie",'Inventaire M-1'!D27="Option/Future",'Inventaire M-1'!D27="TCN",'Inventaire M-1'!D27=""),"-",'Inventaire M-1'!B27)</f>
        <v>LSA: (ITRAXX.XO.43.V2)</v>
      </c>
      <c r="T274" s="175"/>
      <c r="U274" s="175" t="e">
        <f>IF(R274="-","",INDEX('Inventaire M-1'!$A$2:$AG$9334,MATCH(R274,'Inventaire M-1'!$A:$A,0)-1,MATCH("Cours EUR",'Inventaire M-1'!#REF!,0)))</f>
        <v>#REF!</v>
      </c>
      <c r="V274" s="175" t="str">
        <f>IF(R274="-","",IF(ISERROR(INDEX('Inventaire M'!$A$2:$AD$9319,MATCH(R274,'Inventaire M'!$A:$A,0)-1,MATCH("Cours EUR",'Inventaire M'!#REF!,0))),"Sell",INDEX('Inventaire M'!$A$2:$AD$9319,MATCH(R274,'Inventaire M'!$A:$A,0)-1,MATCH("Cours EUR",'Inventaire M'!#REF!,0))))</f>
        <v>Sell</v>
      </c>
      <c r="W274" s="175"/>
      <c r="X274" s="156" t="e">
        <f>IF(R274="-","",INDEX('Inventaire M-1'!$A$2:$AG$9334,MATCH(R274,'Inventaire M-1'!$A:$A,0)-1,MATCH("quantite",'Inventaire M-1'!#REF!,0)))</f>
        <v>#REF!</v>
      </c>
      <c r="Y274" s="156" t="str">
        <f>IF(S274="-","",IF(ISERROR(INDEX('Inventaire M'!$A$2:$AD$9319,MATCH(R274,'Inventaire M'!$A:$A,0)-1,MATCH("quantite",'Inventaire M'!#REF!,0))),"Sell",INDEX('Inventaire M'!$A$2:$AD$9319,MATCH(R274,'Inventaire M'!$A:$A,0)-1,MATCH("quantite",'Inventaire M'!#REF!,0))))</f>
        <v>Sell</v>
      </c>
      <c r="Z274" s="175"/>
      <c r="AA274" s="155" t="e">
        <f>IF(R274="-","",INDEX('Inventaire M-1'!$A$2:$AG$9334,MATCH(R274,'Inventaire M-1'!$A:$A,0)-1,MATCH("poids",'Inventaire M-1'!#REF!,0)))</f>
        <v>#REF!</v>
      </c>
      <c r="AB274" s="155" t="str">
        <f>IF(R274="-","",IF(ISERROR(INDEX('Inventaire M'!$A$2:$AD$9319,MATCH(R274,'Inventaire M'!$A:$A,0)-1,MATCH("poids",'Inventaire M'!#REF!,0))),"Sell",INDEX('Inventaire M'!$A$2:$AD$9319,MATCH(R274,'Inventaire M'!$A:$A,0)-1,MATCH("poids",'Inventaire M'!#REF!,0))))</f>
        <v>Sell</v>
      </c>
      <c r="AC274" s="175"/>
      <c r="AD274" s="157" t="str">
        <f t="shared" si="27"/>
        <v>0</v>
      </c>
      <c r="AE274" s="98" t="str">
        <f t="shared" si="28"/>
        <v/>
      </c>
      <c r="AF274" s="80" t="str">
        <f t="shared" si="29"/>
        <v>LSA: (ITRAXX.XO.43.V2)</v>
      </c>
    </row>
    <row r="275" spans="2:32" outlineLevel="1">
      <c r="B275" s="175" t="str">
        <f>IF(OR('Inventaire M'!D53="Dispo/Liquidité Investie",'Inventaire M'!D53="Option/Future",'Inventaire M'!D53="TCN",'Inventaire M'!D53=""),"-",'Inventaire M'!A53)</f>
        <v>XS2337703537</v>
      </c>
      <c r="C275" s="175" t="str">
        <f>IF(OR('Inventaire M'!D53="Dispo/Liquidité Investie",'Inventaire M'!D53="Option/Future",'Inventaire M'!D53="TCN",'Inventaire M'!D53=""),"-",'Inventaire M'!B53)</f>
        <v>GRUENENTHAL GMBH 4.125 15/05/2028</v>
      </c>
      <c r="D275" s="175"/>
      <c r="E275" s="175" t="e">
        <f>IF(B275="-","",INDEX('Inventaire M'!$A$2:$AW$9305,MATCH(B275,'Inventaire M'!$A:$A,0)-1,MATCH("Cours EUR",'Inventaire M'!#REF!,0)))</f>
        <v>#REF!</v>
      </c>
      <c r="F275" s="175" t="str">
        <f>IF(B275="-","",IF(ISERROR(INDEX('Inventaire M-1'!$A$2:$AZ$9320,MATCH(B275,'Inventaire M-1'!$A:$A,0)-1,MATCH("Cours EUR",'Inventaire M-1'!#REF!,0))),"Buy",INDEX('Inventaire M-1'!$A$2:$AZ$9320,MATCH(B275,'Inventaire M-1'!$A:$A,0)-1,MATCH("Cours EUR",'Inventaire M-1'!#REF!,0))))</f>
        <v>Buy</v>
      </c>
      <c r="G275" s="175"/>
      <c r="H275" s="156" t="e">
        <f>IF(B275="-","",INDEX('Inventaire M'!$A$2:$AW$9305,MATCH(B275,'Inventaire M'!$A:$A,0)-1,MATCH("quantite",'Inventaire M'!#REF!,0)))</f>
        <v>#REF!</v>
      </c>
      <c r="I275" s="156" t="str">
        <f>IF(C275="-","",IF(ISERROR(INDEX('Inventaire M-1'!$A$2:$AZ$9320,MATCH(B275,'Inventaire M-1'!$A:$A,0)-1,MATCH("quantite",'Inventaire M-1'!#REF!,0))),"Buy",INDEX('Inventaire M-1'!$A$2:$AZ$9320,MATCH(B275,'Inventaire M-1'!$A:$A,0)-1,MATCH("quantite",'Inventaire M-1'!#REF!,0))))</f>
        <v>Buy</v>
      </c>
      <c r="J275" s="175"/>
      <c r="K275" s="155" t="e">
        <f>IF(B275="-","",INDEX('Inventaire M'!$A$2:$AW$9305,MATCH(B275,'Inventaire M'!$A:$A,0)-1,MATCH("poids",'Inventaire M'!#REF!,0)))</f>
        <v>#REF!</v>
      </c>
      <c r="L275" s="155" t="str">
        <f>IF(B275="-","",IF(ISERROR(INDEX('Inventaire M-1'!$A$2:$AZ$9320,MATCH(B275,'Inventaire M-1'!$A:$A,0)-1,MATCH("poids",'Inventaire M-1'!#REF!,0))),"Buy",INDEX('Inventaire M-1'!$A$2:$AZ$9320,MATCH(B275,'Inventaire M-1'!$A:$A,0)-1,MATCH("poids",'Inventaire M-1'!#REF!,0))))</f>
        <v>Buy</v>
      </c>
      <c r="M275" s="175"/>
      <c r="N275" s="157" t="str">
        <f t="shared" si="24"/>
        <v>0</v>
      </c>
      <c r="O275" s="98" t="str">
        <f t="shared" si="25"/>
        <v/>
      </c>
      <c r="P275" s="80" t="str">
        <f t="shared" si="26"/>
        <v>GRUENENTHAL GMBH 4.125 15/05/2028</v>
      </c>
      <c r="Q275" s="75">
        <v>2.51E-8</v>
      </c>
      <c r="R275" s="175" t="str">
        <f>IF(OR('Inventaire M-1'!D28="Dispo/Liquidité Investie",'Inventaire M-1'!D28="Option/Future",'Inventaire M-1'!D28="TCN",'Inventaire M-1'!D28=""),"-",'Inventaire M-1'!A28)</f>
        <v>QS0003091590</v>
      </c>
      <c r="S275" s="175" t="str">
        <f>IF(OR('Inventaire M-1'!D28="Dispo/Liquidité Investie",'Inventaire M-1'!D28="Option/Future",'Inventaire M-1'!D28="TCN",'Inventaire M-1'!D28=""),"-",'Inventaire M-1'!B28)</f>
        <v>FORTUNE MANAGEMENT</v>
      </c>
      <c r="T275" s="175"/>
      <c r="U275" s="175" t="e">
        <f>IF(R275="-","",INDEX('Inventaire M-1'!$A$2:$AG$9334,MATCH(R275,'Inventaire M-1'!$A:$A,0)-1,MATCH("Cours EUR",'Inventaire M-1'!#REF!,0)))</f>
        <v>#REF!</v>
      </c>
      <c r="V275" s="175" t="str">
        <f>IF(R275="-","",IF(ISERROR(INDEX('Inventaire M'!$A$2:$AD$9319,MATCH(R275,'Inventaire M'!$A:$A,0)-1,MATCH("Cours EUR",'Inventaire M'!#REF!,0))),"Sell",INDEX('Inventaire M'!$A$2:$AD$9319,MATCH(R275,'Inventaire M'!$A:$A,0)-1,MATCH("Cours EUR",'Inventaire M'!#REF!,0))))</f>
        <v>Sell</v>
      </c>
      <c r="W275" s="175"/>
      <c r="X275" s="156" t="e">
        <f>IF(R275="-","",INDEX('Inventaire M-1'!$A$2:$AG$9334,MATCH(R275,'Inventaire M-1'!$A:$A,0)-1,MATCH("quantite",'Inventaire M-1'!#REF!,0)))</f>
        <v>#REF!</v>
      </c>
      <c r="Y275" s="156" t="str">
        <f>IF(S275="-","",IF(ISERROR(INDEX('Inventaire M'!$A$2:$AD$9319,MATCH(R275,'Inventaire M'!$A:$A,0)-1,MATCH("quantite",'Inventaire M'!#REF!,0))),"Sell",INDEX('Inventaire M'!$A$2:$AD$9319,MATCH(R275,'Inventaire M'!$A:$A,0)-1,MATCH("quantite",'Inventaire M'!#REF!,0))))</f>
        <v>Sell</v>
      </c>
      <c r="Z275" s="175"/>
      <c r="AA275" s="155" t="e">
        <f>IF(R275="-","",INDEX('Inventaire M-1'!$A$2:$AG$9334,MATCH(R275,'Inventaire M-1'!$A:$A,0)-1,MATCH("poids",'Inventaire M-1'!#REF!,0)))</f>
        <v>#REF!</v>
      </c>
      <c r="AB275" s="155" t="str">
        <f>IF(R275="-","",IF(ISERROR(INDEX('Inventaire M'!$A$2:$AD$9319,MATCH(R275,'Inventaire M'!$A:$A,0)-1,MATCH("poids",'Inventaire M'!#REF!,0))),"Sell",INDEX('Inventaire M'!$A$2:$AD$9319,MATCH(R275,'Inventaire M'!$A:$A,0)-1,MATCH("poids",'Inventaire M'!#REF!,0))))</f>
        <v>Sell</v>
      </c>
      <c r="AC275" s="175"/>
      <c r="AD275" s="157" t="str">
        <f t="shared" si="27"/>
        <v>0</v>
      </c>
      <c r="AE275" s="98" t="str">
        <f t="shared" si="28"/>
        <v/>
      </c>
      <c r="AF275" s="80" t="str">
        <f t="shared" si="29"/>
        <v>FORTUNE MANAGEMENT</v>
      </c>
    </row>
    <row r="276" spans="2:32" outlineLevel="1">
      <c r="B276" s="175" t="str">
        <f>IF(OR('Inventaire M'!D54="Dispo/Liquidité Investie",'Inventaire M'!D54="Option/Future",'Inventaire M'!D54="TCN",'Inventaire M'!D54=""),"-",'Inventaire M'!A54)</f>
        <v>XS2342732646</v>
      </c>
      <c r="C276" s="175" t="str">
        <f>IF(OR('Inventaire M'!D54="Dispo/Liquidité Investie",'Inventaire M'!D54="Option/Future",'Inventaire M'!D54="TCN",'Inventaire M'!D54=""),"-",'Inventaire M'!B54)</f>
        <v>VOLKSWAGEN INTERNATIONAL FIN PNC9 PERP</v>
      </c>
      <c r="D276" s="175"/>
      <c r="E276" s="175" t="e">
        <f>IF(B276="-","",INDEX('Inventaire M'!$A$2:$AW$9305,MATCH(B276,'Inventaire M'!$A:$A,0)-1,MATCH("Cours EUR",'Inventaire M'!#REF!,0)))</f>
        <v>#REF!</v>
      </c>
      <c r="F276" s="175" t="str">
        <f>IF(B276="-","",IF(ISERROR(INDEX('Inventaire M-1'!$A$2:$AZ$9320,MATCH(B276,'Inventaire M-1'!$A:$A,0)-1,MATCH("Cours EUR",'Inventaire M-1'!#REF!,0))),"Buy",INDEX('Inventaire M-1'!$A$2:$AZ$9320,MATCH(B276,'Inventaire M-1'!$A:$A,0)-1,MATCH("Cours EUR",'Inventaire M-1'!#REF!,0))))</f>
        <v>Buy</v>
      </c>
      <c r="G276" s="175"/>
      <c r="H276" s="156" t="e">
        <f>IF(B276="-","",INDEX('Inventaire M'!$A$2:$AW$9305,MATCH(B276,'Inventaire M'!$A:$A,0)-1,MATCH("quantite",'Inventaire M'!#REF!,0)))</f>
        <v>#REF!</v>
      </c>
      <c r="I276" s="156" t="str">
        <f>IF(C276="-","",IF(ISERROR(INDEX('Inventaire M-1'!$A$2:$AZ$9320,MATCH(B276,'Inventaire M-1'!$A:$A,0)-1,MATCH("quantite",'Inventaire M-1'!#REF!,0))),"Buy",INDEX('Inventaire M-1'!$A$2:$AZ$9320,MATCH(B276,'Inventaire M-1'!$A:$A,0)-1,MATCH("quantite",'Inventaire M-1'!#REF!,0))))</f>
        <v>Buy</v>
      </c>
      <c r="J276" s="175"/>
      <c r="K276" s="155" t="e">
        <f>IF(B276="-","",INDEX('Inventaire M'!$A$2:$AW$9305,MATCH(B276,'Inventaire M'!$A:$A,0)-1,MATCH("poids",'Inventaire M'!#REF!,0)))</f>
        <v>#REF!</v>
      </c>
      <c r="L276" s="155" t="str">
        <f>IF(B276="-","",IF(ISERROR(INDEX('Inventaire M-1'!$A$2:$AZ$9320,MATCH(B276,'Inventaire M-1'!$A:$A,0)-1,MATCH("poids",'Inventaire M-1'!#REF!,0))),"Buy",INDEX('Inventaire M-1'!$A$2:$AZ$9320,MATCH(B276,'Inventaire M-1'!$A:$A,0)-1,MATCH("poids",'Inventaire M-1'!#REF!,0))))</f>
        <v>Buy</v>
      </c>
      <c r="M276" s="175"/>
      <c r="N276" s="157" t="str">
        <f t="shared" si="24"/>
        <v>0</v>
      </c>
      <c r="O276" s="98" t="str">
        <f t="shared" si="25"/>
        <v/>
      </c>
      <c r="P276" s="80" t="str">
        <f t="shared" si="26"/>
        <v>VOLKSWAGEN INTERNATIONAL FIN PNC9 PERP</v>
      </c>
      <c r="Q276" s="75">
        <v>2.5200000000000001E-8</v>
      </c>
      <c r="R276" s="175" t="str">
        <f>IF(OR('Inventaire M-1'!D29="Dispo/Liquidité Investie",'Inventaire M-1'!D29="Option/Future",'Inventaire M-1'!D29="TCN",'Inventaire M-1'!D29=""),"-",'Inventaire M-1'!A29)</f>
        <v>US4652661046</v>
      </c>
      <c r="S276" s="175" t="str">
        <f>IF(OR('Inventaire M-1'!D29="Dispo/Liquidité Investie",'Inventaire M-1'!D29="Option/Future",'Inventaire M-1'!D29="TCN",'Inventaire M-1'!D29=""),"-",'Inventaire M-1'!B29)</f>
        <v>IT GROUP INC</v>
      </c>
      <c r="T276" s="175"/>
      <c r="U276" s="175" t="e">
        <f>IF(R276="-","",INDEX('Inventaire M-1'!$A$2:$AG$9334,MATCH(R276,'Inventaire M-1'!$A:$A,0)-1,MATCH("Cours EUR",'Inventaire M-1'!#REF!,0)))</f>
        <v>#REF!</v>
      </c>
      <c r="V276" s="175" t="str">
        <f>IF(R276="-","",IF(ISERROR(INDEX('Inventaire M'!$A$2:$AD$9319,MATCH(R276,'Inventaire M'!$A:$A,0)-1,MATCH("Cours EUR",'Inventaire M'!#REF!,0))),"Sell",INDEX('Inventaire M'!$A$2:$AD$9319,MATCH(R276,'Inventaire M'!$A:$A,0)-1,MATCH("Cours EUR",'Inventaire M'!#REF!,0))))</f>
        <v>Sell</v>
      </c>
      <c r="W276" s="175"/>
      <c r="X276" s="156" t="e">
        <f>IF(R276="-","",INDEX('Inventaire M-1'!$A$2:$AG$9334,MATCH(R276,'Inventaire M-1'!$A:$A,0)-1,MATCH("quantite",'Inventaire M-1'!#REF!,0)))</f>
        <v>#REF!</v>
      </c>
      <c r="Y276" s="156" t="str">
        <f>IF(S276="-","",IF(ISERROR(INDEX('Inventaire M'!$A$2:$AD$9319,MATCH(R276,'Inventaire M'!$A:$A,0)-1,MATCH("quantite",'Inventaire M'!#REF!,0))),"Sell",INDEX('Inventaire M'!$A$2:$AD$9319,MATCH(R276,'Inventaire M'!$A:$A,0)-1,MATCH("quantite",'Inventaire M'!#REF!,0))))</f>
        <v>Sell</v>
      </c>
      <c r="Z276" s="175"/>
      <c r="AA276" s="155" t="e">
        <f>IF(R276="-","",INDEX('Inventaire M-1'!$A$2:$AG$9334,MATCH(R276,'Inventaire M-1'!$A:$A,0)-1,MATCH("poids",'Inventaire M-1'!#REF!,0)))</f>
        <v>#REF!</v>
      </c>
      <c r="AB276" s="155" t="str">
        <f>IF(R276="-","",IF(ISERROR(INDEX('Inventaire M'!$A$2:$AD$9319,MATCH(R276,'Inventaire M'!$A:$A,0)-1,MATCH("poids",'Inventaire M'!#REF!,0))),"Sell",INDEX('Inventaire M'!$A$2:$AD$9319,MATCH(R276,'Inventaire M'!$A:$A,0)-1,MATCH("poids",'Inventaire M'!#REF!,0))))</f>
        <v>Sell</v>
      </c>
      <c r="AC276" s="175"/>
      <c r="AD276" s="157" t="str">
        <f t="shared" si="27"/>
        <v>0</v>
      </c>
      <c r="AE276" s="98" t="str">
        <f t="shared" si="28"/>
        <v/>
      </c>
      <c r="AF276" s="80" t="str">
        <f t="shared" si="29"/>
        <v>IT GROUP INC</v>
      </c>
    </row>
    <row r="277" spans="2:32" outlineLevel="1">
      <c r="B277" s="175" t="str">
        <f>IF(OR('Inventaire M'!D55="Dispo/Liquidité Investie",'Inventaire M'!D55="Option/Future",'Inventaire M'!D55="TCN",'Inventaire M'!D55=""),"-",'Inventaire M'!A55)</f>
        <v>XS2353416386</v>
      </c>
      <c r="C277" s="175" t="str">
        <f>IF(OR('Inventaire M'!D55="Dispo/Liquidité Investie",'Inventaire M'!D55="Option/Future",'Inventaire M'!D55="TCN",'Inventaire M'!D55=""),"-",'Inventaire M'!B55)</f>
        <v>ENERGIZER GAMMA ACQUISITION BV 3.5 30/06/2029</v>
      </c>
      <c r="D277" s="175"/>
      <c r="E277" s="175" t="e">
        <f>IF(B277="-","",INDEX('Inventaire M'!$A$2:$AW$9305,MATCH(B277,'Inventaire M'!$A:$A,0)-1,MATCH("Cours EUR",'Inventaire M'!#REF!,0)))</f>
        <v>#REF!</v>
      </c>
      <c r="F277" s="175" t="str">
        <f>IF(B277="-","",IF(ISERROR(INDEX('Inventaire M-1'!$A$2:$AZ$9320,MATCH(B277,'Inventaire M-1'!$A:$A,0)-1,MATCH("Cours EUR",'Inventaire M-1'!#REF!,0))),"Buy",INDEX('Inventaire M-1'!$A$2:$AZ$9320,MATCH(B277,'Inventaire M-1'!$A:$A,0)-1,MATCH("Cours EUR",'Inventaire M-1'!#REF!,0))))</f>
        <v>Buy</v>
      </c>
      <c r="G277" s="175"/>
      <c r="H277" s="156" t="e">
        <f>IF(B277="-","",INDEX('Inventaire M'!$A$2:$AW$9305,MATCH(B277,'Inventaire M'!$A:$A,0)-1,MATCH("quantite",'Inventaire M'!#REF!,0)))</f>
        <v>#REF!</v>
      </c>
      <c r="I277" s="156" t="str">
        <f>IF(C277="-","",IF(ISERROR(INDEX('Inventaire M-1'!$A$2:$AZ$9320,MATCH(B277,'Inventaire M-1'!$A:$A,0)-1,MATCH("quantite",'Inventaire M-1'!#REF!,0))),"Buy",INDEX('Inventaire M-1'!$A$2:$AZ$9320,MATCH(B277,'Inventaire M-1'!$A:$A,0)-1,MATCH("quantite",'Inventaire M-1'!#REF!,0))))</f>
        <v>Buy</v>
      </c>
      <c r="J277" s="175"/>
      <c r="K277" s="155" t="e">
        <f>IF(B277="-","",INDEX('Inventaire M'!$A$2:$AW$9305,MATCH(B277,'Inventaire M'!$A:$A,0)-1,MATCH("poids",'Inventaire M'!#REF!,0)))</f>
        <v>#REF!</v>
      </c>
      <c r="L277" s="155" t="str">
        <f>IF(B277="-","",IF(ISERROR(INDEX('Inventaire M-1'!$A$2:$AZ$9320,MATCH(B277,'Inventaire M-1'!$A:$A,0)-1,MATCH("poids",'Inventaire M-1'!#REF!,0))),"Buy",INDEX('Inventaire M-1'!$A$2:$AZ$9320,MATCH(B277,'Inventaire M-1'!$A:$A,0)-1,MATCH("poids",'Inventaire M-1'!#REF!,0))))</f>
        <v>Buy</v>
      </c>
      <c r="M277" s="175"/>
      <c r="N277" s="157" t="str">
        <f t="shared" si="24"/>
        <v>0</v>
      </c>
      <c r="O277" s="98" t="str">
        <f t="shared" si="25"/>
        <v/>
      </c>
      <c r="P277" s="80" t="str">
        <f t="shared" si="26"/>
        <v>ENERGIZER GAMMA ACQUISITION BV 3.5 30/06/2029</v>
      </c>
      <c r="Q277" s="75">
        <v>2.5300000000000002E-8</v>
      </c>
      <c r="R277" s="175" t="str">
        <f>IF(OR('Inventaire M-1'!D30="Dispo/Liquidité Investie",'Inventaire M-1'!D30="Option/Future",'Inventaire M-1'!D30="TCN",'Inventaire M-1'!D30=""),"-",'Inventaire M-1'!A30)</f>
        <v>US6680741070</v>
      </c>
      <c r="S277" s="175" t="str">
        <f>IF(OR('Inventaire M-1'!D30="Dispo/Liquidité Investie",'Inventaire M-1'!D30="Option/Future",'Inventaire M-1'!D30="TCN",'Inventaire M-1'!D30=""),"-",'Inventaire M-1'!B30)</f>
        <v>NORTHWESTERN CORPORATION</v>
      </c>
      <c r="T277" s="175"/>
      <c r="U277" s="175" t="e">
        <f>IF(R277="-","",INDEX('Inventaire M-1'!$A$2:$AG$9334,MATCH(R277,'Inventaire M-1'!$A:$A,0)-1,MATCH("Cours EUR",'Inventaire M-1'!#REF!,0)))</f>
        <v>#REF!</v>
      </c>
      <c r="V277" s="175" t="str">
        <f>IF(R277="-","",IF(ISERROR(INDEX('Inventaire M'!$A$2:$AD$9319,MATCH(R277,'Inventaire M'!$A:$A,0)-1,MATCH("Cours EUR",'Inventaire M'!#REF!,0))),"Sell",INDEX('Inventaire M'!$A$2:$AD$9319,MATCH(R277,'Inventaire M'!$A:$A,0)-1,MATCH("Cours EUR",'Inventaire M'!#REF!,0))))</f>
        <v>Sell</v>
      </c>
      <c r="W277" s="175"/>
      <c r="X277" s="156" t="e">
        <f>IF(R277="-","",INDEX('Inventaire M-1'!$A$2:$AG$9334,MATCH(R277,'Inventaire M-1'!$A:$A,0)-1,MATCH("quantite",'Inventaire M-1'!#REF!,0)))</f>
        <v>#REF!</v>
      </c>
      <c r="Y277" s="156" t="str">
        <f>IF(S277="-","",IF(ISERROR(INDEX('Inventaire M'!$A$2:$AD$9319,MATCH(R277,'Inventaire M'!$A:$A,0)-1,MATCH("quantite",'Inventaire M'!#REF!,0))),"Sell",INDEX('Inventaire M'!$A$2:$AD$9319,MATCH(R277,'Inventaire M'!$A:$A,0)-1,MATCH("quantite",'Inventaire M'!#REF!,0))))</f>
        <v>Sell</v>
      </c>
      <c r="Z277" s="175"/>
      <c r="AA277" s="155" t="e">
        <f>IF(R277="-","",INDEX('Inventaire M-1'!$A$2:$AG$9334,MATCH(R277,'Inventaire M-1'!$A:$A,0)-1,MATCH("poids",'Inventaire M-1'!#REF!,0)))</f>
        <v>#REF!</v>
      </c>
      <c r="AB277" s="155" t="str">
        <f>IF(R277="-","",IF(ISERROR(INDEX('Inventaire M'!$A$2:$AD$9319,MATCH(R277,'Inventaire M'!$A:$A,0)-1,MATCH("poids",'Inventaire M'!#REF!,0))),"Sell",INDEX('Inventaire M'!$A$2:$AD$9319,MATCH(R277,'Inventaire M'!$A:$A,0)-1,MATCH("poids",'Inventaire M'!#REF!,0))))</f>
        <v>Sell</v>
      </c>
      <c r="AC277" s="175"/>
      <c r="AD277" s="157" t="str">
        <f t="shared" si="27"/>
        <v>0</v>
      </c>
      <c r="AE277" s="98" t="str">
        <f t="shared" si="28"/>
        <v/>
      </c>
      <c r="AF277" s="80" t="str">
        <f t="shared" si="29"/>
        <v>NORTHWESTERN CORPORATION</v>
      </c>
    </row>
    <row r="278" spans="2:32" outlineLevel="1">
      <c r="B278" s="175" t="str">
        <f>IF(OR('Inventaire M'!D56="Dispo/Liquidité Investie",'Inventaire M'!D56="Option/Future",'Inventaire M'!D56="TCN",'Inventaire M'!D56=""),"-",'Inventaire M'!A56)</f>
        <v>XS2355604880</v>
      </c>
      <c r="C278" s="175" t="str">
        <f>IF(OR('Inventaire M'!D56="Dispo/Liquidité Investie",'Inventaire M'!D56="Option/Future",'Inventaire M'!D56="TCN",'Inventaire M'!D56=""),"-",'Inventaire M'!B56)</f>
        <v>NOMAD FOODS BONDCO PLC 2.5 24/06/2028</v>
      </c>
      <c r="D278" s="175"/>
      <c r="E278" s="175" t="e">
        <f>IF(B278="-","",INDEX('Inventaire M'!$A$2:$AW$9305,MATCH(B278,'Inventaire M'!$A:$A,0)-1,MATCH("Cours EUR",'Inventaire M'!#REF!,0)))</f>
        <v>#REF!</v>
      </c>
      <c r="F278" s="175" t="str">
        <f>IF(B278="-","",IF(ISERROR(INDEX('Inventaire M-1'!$A$2:$AZ$9320,MATCH(B278,'Inventaire M-1'!$A:$A,0)-1,MATCH("Cours EUR",'Inventaire M-1'!#REF!,0))),"Buy",INDEX('Inventaire M-1'!$A$2:$AZ$9320,MATCH(B278,'Inventaire M-1'!$A:$A,0)-1,MATCH("Cours EUR",'Inventaire M-1'!#REF!,0))))</f>
        <v>Buy</v>
      </c>
      <c r="G278" s="175"/>
      <c r="H278" s="156" t="e">
        <f>IF(B278="-","",INDEX('Inventaire M'!$A$2:$AW$9305,MATCH(B278,'Inventaire M'!$A:$A,0)-1,MATCH("quantite",'Inventaire M'!#REF!,0)))</f>
        <v>#REF!</v>
      </c>
      <c r="I278" s="156" t="str">
        <f>IF(C278="-","",IF(ISERROR(INDEX('Inventaire M-1'!$A$2:$AZ$9320,MATCH(B278,'Inventaire M-1'!$A:$A,0)-1,MATCH("quantite",'Inventaire M-1'!#REF!,0))),"Buy",INDEX('Inventaire M-1'!$A$2:$AZ$9320,MATCH(B278,'Inventaire M-1'!$A:$A,0)-1,MATCH("quantite",'Inventaire M-1'!#REF!,0))))</f>
        <v>Buy</v>
      </c>
      <c r="J278" s="175"/>
      <c r="K278" s="155" t="e">
        <f>IF(B278="-","",INDEX('Inventaire M'!$A$2:$AW$9305,MATCH(B278,'Inventaire M'!$A:$A,0)-1,MATCH("poids",'Inventaire M'!#REF!,0)))</f>
        <v>#REF!</v>
      </c>
      <c r="L278" s="155" t="str">
        <f>IF(B278="-","",IF(ISERROR(INDEX('Inventaire M-1'!$A$2:$AZ$9320,MATCH(B278,'Inventaire M-1'!$A:$A,0)-1,MATCH("poids",'Inventaire M-1'!#REF!,0))),"Buy",INDEX('Inventaire M-1'!$A$2:$AZ$9320,MATCH(B278,'Inventaire M-1'!$A:$A,0)-1,MATCH("poids",'Inventaire M-1'!#REF!,0))))</f>
        <v>Buy</v>
      </c>
      <c r="M278" s="175"/>
      <c r="N278" s="157" t="str">
        <f t="shared" si="24"/>
        <v>0</v>
      </c>
      <c r="O278" s="98" t="str">
        <f t="shared" si="25"/>
        <v/>
      </c>
      <c r="P278" s="80" t="str">
        <f t="shared" si="26"/>
        <v>NOMAD FOODS BONDCO PLC 2.5 24/06/2028</v>
      </c>
      <c r="Q278" s="75">
        <v>2.5399999999999999E-8</v>
      </c>
      <c r="R278" s="175" t="str">
        <f>IF(OR('Inventaire M-1'!D31="Dispo/Liquidité Investie",'Inventaire M-1'!D31="Option/Future",'Inventaire M-1'!D31="TCN",'Inventaire M-1'!D31=""),"-",'Inventaire M-1'!A31)</f>
        <v>US70558AAB26</v>
      </c>
      <c r="S278" s="175" t="str">
        <f>IF(OR('Inventaire M-1'!D31="Dispo/Liquidité Investie",'Inventaire M-1'!D31="Option/Future",'Inventaire M-1'!D31="TCN",'Inventaire M-1'!D31=""),"-",'Inventaire M-1'!B31)</f>
        <v>PEGASUS SATELLITE COMMUNICATIONS I 31/12/2222</v>
      </c>
      <c r="T278" s="175"/>
      <c r="U278" s="175" t="e">
        <f>IF(R278="-","",INDEX('Inventaire M-1'!$A$2:$AG$9334,MATCH(R278,'Inventaire M-1'!$A:$A,0)-1,MATCH("Cours EUR",'Inventaire M-1'!#REF!,0)))</f>
        <v>#REF!</v>
      </c>
      <c r="V278" s="175" t="str">
        <f>IF(R278="-","",IF(ISERROR(INDEX('Inventaire M'!$A$2:$AD$9319,MATCH(R278,'Inventaire M'!$A:$A,0)-1,MATCH("Cours EUR",'Inventaire M'!#REF!,0))),"Sell",INDEX('Inventaire M'!$A$2:$AD$9319,MATCH(R278,'Inventaire M'!$A:$A,0)-1,MATCH("Cours EUR",'Inventaire M'!#REF!,0))))</f>
        <v>Sell</v>
      </c>
      <c r="W278" s="175"/>
      <c r="X278" s="156" t="e">
        <f>IF(R278="-","",INDEX('Inventaire M-1'!$A$2:$AG$9334,MATCH(R278,'Inventaire M-1'!$A:$A,0)-1,MATCH("quantite",'Inventaire M-1'!#REF!,0)))</f>
        <v>#REF!</v>
      </c>
      <c r="Y278" s="156" t="str">
        <f>IF(S278="-","",IF(ISERROR(INDEX('Inventaire M'!$A$2:$AD$9319,MATCH(R278,'Inventaire M'!$A:$A,0)-1,MATCH("quantite",'Inventaire M'!#REF!,0))),"Sell",INDEX('Inventaire M'!$A$2:$AD$9319,MATCH(R278,'Inventaire M'!$A:$A,0)-1,MATCH("quantite",'Inventaire M'!#REF!,0))))</f>
        <v>Sell</v>
      </c>
      <c r="Z278" s="175"/>
      <c r="AA278" s="155" t="e">
        <f>IF(R278="-","",INDEX('Inventaire M-1'!$A$2:$AG$9334,MATCH(R278,'Inventaire M-1'!$A:$A,0)-1,MATCH("poids",'Inventaire M-1'!#REF!,0)))</f>
        <v>#REF!</v>
      </c>
      <c r="AB278" s="155" t="str">
        <f>IF(R278="-","",IF(ISERROR(INDEX('Inventaire M'!$A$2:$AD$9319,MATCH(R278,'Inventaire M'!$A:$A,0)-1,MATCH("poids",'Inventaire M'!#REF!,0))),"Sell",INDEX('Inventaire M'!$A$2:$AD$9319,MATCH(R278,'Inventaire M'!$A:$A,0)-1,MATCH("poids",'Inventaire M'!#REF!,0))))</f>
        <v>Sell</v>
      </c>
      <c r="AC278" s="175"/>
      <c r="AD278" s="157" t="str">
        <f t="shared" si="27"/>
        <v>0</v>
      </c>
      <c r="AE278" s="98" t="str">
        <f t="shared" si="28"/>
        <v/>
      </c>
      <c r="AF278" s="80" t="str">
        <f t="shared" si="29"/>
        <v>PEGASUS SATELLITE COMMUNICATIONS I 31/12/2222</v>
      </c>
    </row>
    <row r="279" spans="2:32" outlineLevel="1">
      <c r="B279" s="175" t="str">
        <f>IF(OR('Inventaire M'!D57="Dispo/Liquidité Investie",'Inventaire M'!D57="Option/Future",'Inventaire M'!D57="TCN",'Inventaire M'!D57=""),"-",'Inventaire M'!A57)</f>
        <v>XS2357812556</v>
      </c>
      <c r="C279" s="175" t="str">
        <f>IF(OR('Inventaire M'!D57="Dispo/Liquidité Investie",'Inventaire M'!D57="Option/Future",'Inventaire M'!D57="TCN",'Inventaire M'!D57=""),"-",'Inventaire M'!B57)</f>
        <v>GUALA CLOSURES SPA 3.25 15/06/2028</v>
      </c>
      <c r="D279" s="175"/>
      <c r="E279" s="175" t="e">
        <f>IF(B279="-","",INDEX('Inventaire M'!$A$2:$AW$9305,MATCH(B279,'Inventaire M'!$A:$A,0)-1,MATCH("Cours EUR",'Inventaire M'!#REF!,0)))</f>
        <v>#REF!</v>
      </c>
      <c r="F279" s="175" t="str">
        <f>IF(B279="-","",IF(ISERROR(INDEX('Inventaire M-1'!$A$2:$AZ$9320,MATCH(B279,'Inventaire M-1'!$A:$A,0)-1,MATCH("Cours EUR",'Inventaire M-1'!#REF!,0))),"Buy",INDEX('Inventaire M-1'!$A$2:$AZ$9320,MATCH(B279,'Inventaire M-1'!$A:$A,0)-1,MATCH("Cours EUR",'Inventaire M-1'!#REF!,0))))</f>
        <v>Buy</v>
      </c>
      <c r="G279" s="175"/>
      <c r="H279" s="156" t="e">
        <f>IF(B279="-","",INDEX('Inventaire M'!$A$2:$AW$9305,MATCH(B279,'Inventaire M'!$A:$A,0)-1,MATCH("quantite",'Inventaire M'!#REF!,0)))</f>
        <v>#REF!</v>
      </c>
      <c r="I279" s="156" t="str">
        <f>IF(C279="-","",IF(ISERROR(INDEX('Inventaire M-1'!$A$2:$AZ$9320,MATCH(B279,'Inventaire M-1'!$A:$A,0)-1,MATCH("quantite",'Inventaire M-1'!#REF!,0))),"Buy",INDEX('Inventaire M-1'!$A$2:$AZ$9320,MATCH(B279,'Inventaire M-1'!$A:$A,0)-1,MATCH("quantite",'Inventaire M-1'!#REF!,0))))</f>
        <v>Buy</v>
      </c>
      <c r="J279" s="175"/>
      <c r="K279" s="155" t="e">
        <f>IF(B279="-","",INDEX('Inventaire M'!$A$2:$AW$9305,MATCH(B279,'Inventaire M'!$A:$A,0)-1,MATCH("poids",'Inventaire M'!#REF!,0)))</f>
        <v>#REF!</v>
      </c>
      <c r="L279" s="155" t="str">
        <f>IF(B279="-","",IF(ISERROR(INDEX('Inventaire M-1'!$A$2:$AZ$9320,MATCH(B279,'Inventaire M-1'!$A:$A,0)-1,MATCH("poids",'Inventaire M-1'!#REF!,0))),"Buy",INDEX('Inventaire M-1'!$A$2:$AZ$9320,MATCH(B279,'Inventaire M-1'!$A:$A,0)-1,MATCH("poids",'Inventaire M-1'!#REF!,0))))</f>
        <v>Buy</v>
      </c>
      <c r="M279" s="175"/>
      <c r="N279" s="157" t="str">
        <f t="shared" si="24"/>
        <v>0</v>
      </c>
      <c r="O279" s="98" t="str">
        <f t="shared" si="25"/>
        <v/>
      </c>
      <c r="P279" s="80" t="str">
        <f t="shared" si="26"/>
        <v>GUALA CLOSURES SPA 3.25 15/06/2028</v>
      </c>
      <c r="Q279" s="75">
        <v>2.55E-8</v>
      </c>
      <c r="R279" s="175" t="str">
        <f>IF(OR('Inventaire M-1'!D32="Dispo/Liquidité Investie",'Inventaire M-1'!D32="Option/Future",'Inventaire M-1'!D32="TCN",'Inventaire M-1'!D32=""),"-",'Inventaire M-1'!A32)</f>
        <v>XS1716945586</v>
      </c>
      <c r="S279" s="175" t="str">
        <f>IF(OR('Inventaire M-1'!D32="Dispo/Liquidité Investie",'Inventaire M-1'!D32="Option/Future",'Inventaire M-1'!D32="TCN",'Inventaire M-1'!D32=""),"-",'Inventaire M-1'!B32)</f>
        <v>EUROFINS SCIENTIFIC SE PERP</v>
      </c>
      <c r="T279" s="175"/>
      <c r="U279" s="175" t="e">
        <f>IF(R279="-","",INDEX('Inventaire M-1'!$A$2:$AG$9334,MATCH(R279,'Inventaire M-1'!$A:$A,0)-1,MATCH("Cours EUR",'Inventaire M-1'!#REF!,0)))</f>
        <v>#REF!</v>
      </c>
      <c r="V279" s="175" t="str">
        <f>IF(R279="-","",IF(ISERROR(INDEX('Inventaire M'!$A$2:$AD$9319,MATCH(R279,'Inventaire M'!$A:$A,0)-1,MATCH("Cours EUR",'Inventaire M'!#REF!,0))),"Sell",INDEX('Inventaire M'!$A$2:$AD$9319,MATCH(R279,'Inventaire M'!$A:$A,0)-1,MATCH("Cours EUR",'Inventaire M'!#REF!,0))))</f>
        <v>Sell</v>
      </c>
      <c r="W279" s="175"/>
      <c r="X279" s="156" t="e">
        <f>IF(R279="-","",INDEX('Inventaire M-1'!$A$2:$AG$9334,MATCH(R279,'Inventaire M-1'!$A:$A,0)-1,MATCH("quantite",'Inventaire M-1'!#REF!,0)))</f>
        <v>#REF!</v>
      </c>
      <c r="Y279" s="156" t="str">
        <f>IF(S279="-","",IF(ISERROR(INDEX('Inventaire M'!$A$2:$AD$9319,MATCH(R279,'Inventaire M'!$A:$A,0)-1,MATCH("quantite",'Inventaire M'!#REF!,0))),"Sell",INDEX('Inventaire M'!$A$2:$AD$9319,MATCH(R279,'Inventaire M'!$A:$A,0)-1,MATCH("quantite",'Inventaire M'!#REF!,0))))</f>
        <v>Sell</v>
      </c>
      <c r="Z279" s="175"/>
      <c r="AA279" s="155" t="e">
        <f>IF(R279="-","",INDEX('Inventaire M-1'!$A$2:$AG$9334,MATCH(R279,'Inventaire M-1'!$A:$A,0)-1,MATCH("poids",'Inventaire M-1'!#REF!,0)))</f>
        <v>#REF!</v>
      </c>
      <c r="AB279" s="155" t="str">
        <f>IF(R279="-","",IF(ISERROR(INDEX('Inventaire M'!$A$2:$AD$9319,MATCH(R279,'Inventaire M'!$A:$A,0)-1,MATCH("poids",'Inventaire M'!#REF!,0))),"Sell",INDEX('Inventaire M'!$A$2:$AD$9319,MATCH(R279,'Inventaire M'!$A:$A,0)-1,MATCH("poids",'Inventaire M'!#REF!,0))))</f>
        <v>Sell</v>
      </c>
      <c r="AC279" s="175"/>
      <c r="AD279" s="157" t="str">
        <f t="shared" si="27"/>
        <v>0</v>
      </c>
      <c r="AE279" s="98" t="str">
        <f t="shared" si="28"/>
        <v/>
      </c>
      <c r="AF279" s="80" t="str">
        <f t="shared" si="29"/>
        <v>EUROFINS SCIENTIFIC SE PERP</v>
      </c>
    </row>
    <row r="280" spans="2:32" outlineLevel="1">
      <c r="B280" s="175" t="str">
        <f>IF(OR('Inventaire M'!D58="Dispo/Liquidité Investie",'Inventaire M'!D58="Option/Future",'Inventaire M'!D58="TCN",'Inventaire M'!D58=""),"-",'Inventaire M'!A58)</f>
        <v>XS2380124227</v>
      </c>
      <c r="C280" s="175" t="str">
        <f>IF(OR('Inventaire M'!D58="Dispo/Liquidité Investie",'Inventaire M'!D58="Option/Future",'Inventaire M'!D58="TCN",'Inventaire M'!D58=""),"-",'Inventaire M'!B58)</f>
        <v>CASTELLUM AB PERP</v>
      </c>
      <c r="D280" s="175"/>
      <c r="E280" s="175" t="e">
        <f>IF(B280="-","",INDEX('Inventaire M'!$A$2:$AW$9305,MATCH(B280,'Inventaire M'!$A:$A,0)-1,MATCH("Cours EUR",'Inventaire M'!#REF!,0)))</f>
        <v>#REF!</v>
      </c>
      <c r="F280" s="175" t="str">
        <f>IF(B280="-","",IF(ISERROR(INDEX('Inventaire M-1'!$A$2:$AZ$9320,MATCH(B280,'Inventaire M-1'!$A:$A,0)-1,MATCH("Cours EUR",'Inventaire M-1'!#REF!,0))),"Buy",INDEX('Inventaire M-1'!$A$2:$AZ$9320,MATCH(B280,'Inventaire M-1'!$A:$A,0)-1,MATCH("Cours EUR",'Inventaire M-1'!#REF!,0))))</f>
        <v>Buy</v>
      </c>
      <c r="G280" s="175"/>
      <c r="H280" s="156" t="e">
        <f>IF(B280="-","",INDEX('Inventaire M'!$A$2:$AW$9305,MATCH(B280,'Inventaire M'!$A:$A,0)-1,MATCH("quantite",'Inventaire M'!#REF!,0)))</f>
        <v>#REF!</v>
      </c>
      <c r="I280" s="156" t="str">
        <f>IF(C280="-","",IF(ISERROR(INDEX('Inventaire M-1'!$A$2:$AZ$9320,MATCH(B280,'Inventaire M-1'!$A:$A,0)-1,MATCH("quantite",'Inventaire M-1'!#REF!,0))),"Buy",INDEX('Inventaire M-1'!$A$2:$AZ$9320,MATCH(B280,'Inventaire M-1'!$A:$A,0)-1,MATCH("quantite",'Inventaire M-1'!#REF!,0))))</f>
        <v>Buy</v>
      </c>
      <c r="J280" s="175"/>
      <c r="K280" s="155" t="e">
        <f>IF(B280="-","",INDEX('Inventaire M'!$A$2:$AW$9305,MATCH(B280,'Inventaire M'!$A:$A,0)-1,MATCH("poids",'Inventaire M'!#REF!,0)))</f>
        <v>#REF!</v>
      </c>
      <c r="L280" s="155" t="str">
        <f>IF(B280="-","",IF(ISERROR(INDEX('Inventaire M-1'!$A$2:$AZ$9320,MATCH(B280,'Inventaire M-1'!$A:$A,0)-1,MATCH("poids",'Inventaire M-1'!#REF!,0))),"Buy",INDEX('Inventaire M-1'!$A$2:$AZ$9320,MATCH(B280,'Inventaire M-1'!$A:$A,0)-1,MATCH("poids",'Inventaire M-1'!#REF!,0))))</f>
        <v>Buy</v>
      </c>
      <c r="M280" s="175"/>
      <c r="N280" s="157" t="str">
        <f t="shared" si="24"/>
        <v>0</v>
      </c>
      <c r="O280" s="98" t="str">
        <f t="shared" si="25"/>
        <v/>
      </c>
      <c r="P280" s="80" t="str">
        <f t="shared" si="26"/>
        <v>CASTELLUM AB PERP</v>
      </c>
      <c r="Q280" s="75">
        <v>2.5600000000000001E-8</v>
      </c>
      <c r="R280" s="175" t="str">
        <f>IF(OR('Inventaire M-1'!D33="Dispo/Liquidité Investie",'Inventaire M-1'!D33="Option/Future",'Inventaire M-1'!D33="TCN",'Inventaire M-1'!D33=""),"-",'Inventaire M-1'!A33)</f>
        <v>XS2010028004</v>
      </c>
      <c r="S280" s="175" t="str">
        <f>IF(OR('Inventaire M-1'!D33="Dispo/Liquidité Investie",'Inventaire M-1'!D33="Option/Future",'Inventaire M-1'!D33="TCN",'Inventaire M-1'!D33=""),"-",'Inventaire M-1'!B33)</f>
        <v>INPOST SA 2.25 15/07/2027</v>
      </c>
      <c r="T280" s="175"/>
      <c r="U280" s="175" t="e">
        <f>IF(R280="-","",INDEX('Inventaire M-1'!$A$2:$AG$9334,MATCH(R280,'Inventaire M-1'!$A:$A,0)-1,MATCH("Cours EUR",'Inventaire M-1'!#REF!,0)))</f>
        <v>#REF!</v>
      </c>
      <c r="V280" s="175" t="str">
        <f>IF(R280="-","",IF(ISERROR(INDEX('Inventaire M'!$A$2:$AD$9319,MATCH(R280,'Inventaire M'!$A:$A,0)-1,MATCH("Cours EUR",'Inventaire M'!#REF!,0))),"Sell",INDEX('Inventaire M'!$A$2:$AD$9319,MATCH(R280,'Inventaire M'!$A:$A,0)-1,MATCH("Cours EUR",'Inventaire M'!#REF!,0))))</f>
        <v>Sell</v>
      </c>
      <c r="W280" s="175"/>
      <c r="X280" s="156" t="e">
        <f>IF(R280="-","",INDEX('Inventaire M-1'!$A$2:$AG$9334,MATCH(R280,'Inventaire M-1'!$A:$A,0)-1,MATCH("quantite",'Inventaire M-1'!#REF!,0)))</f>
        <v>#REF!</v>
      </c>
      <c r="Y280" s="156" t="str">
        <f>IF(S280="-","",IF(ISERROR(INDEX('Inventaire M'!$A$2:$AD$9319,MATCH(R280,'Inventaire M'!$A:$A,0)-1,MATCH("quantite",'Inventaire M'!#REF!,0))),"Sell",INDEX('Inventaire M'!$A$2:$AD$9319,MATCH(R280,'Inventaire M'!$A:$A,0)-1,MATCH("quantite",'Inventaire M'!#REF!,0))))</f>
        <v>Sell</v>
      </c>
      <c r="Z280" s="175"/>
      <c r="AA280" s="155" t="e">
        <f>IF(R280="-","",INDEX('Inventaire M-1'!$A$2:$AG$9334,MATCH(R280,'Inventaire M-1'!$A:$A,0)-1,MATCH("poids",'Inventaire M-1'!#REF!,0)))</f>
        <v>#REF!</v>
      </c>
      <c r="AB280" s="155" t="str">
        <f>IF(R280="-","",IF(ISERROR(INDEX('Inventaire M'!$A$2:$AD$9319,MATCH(R280,'Inventaire M'!$A:$A,0)-1,MATCH("poids",'Inventaire M'!#REF!,0))),"Sell",INDEX('Inventaire M'!$A$2:$AD$9319,MATCH(R280,'Inventaire M'!$A:$A,0)-1,MATCH("poids",'Inventaire M'!#REF!,0))))</f>
        <v>Sell</v>
      </c>
      <c r="AC280" s="175"/>
      <c r="AD280" s="157" t="str">
        <f t="shared" si="27"/>
        <v>0</v>
      </c>
      <c r="AE280" s="98" t="str">
        <f t="shared" si="28"/>
        <v/>
      </c>
      <c r="AF280" s="80" t="str">
        <f t="shared" si="29"/>
        <v>INPOST SA 2.25 15/07/2027</v>
      </c>
    </row>
    <row r="281" spans="2:32" outlineLevel="1">
      <c r="B281" s="175" t="str">
        <f>IF(OR('Inventaire M'!D59="Dispo/Liquidité Investie",'Inventaire M'!D59="Option/Future",'Inventaire M'!D59="TCN",'Inventaire M'!D59=""),"-",'Inventaire M'!A59)</f>
        <v>XS2388141892</v>
      </c>
      <c r="C281" s="175" t="str">
        <f>IF(OR('Inventaire M'!D59="Dispo/Liquidité Investie",'Inventaire M'!D59="Option/Future",'Inventaire M'!D59="TCN",'Inventaire M'!D59=""),"-",'Inventaire M'!B59)</f>
        <v>ADECCO INTERNATIONAL FINANCIAL SER 21/03/2082</v>
      </c>
      <c r="D281" s="175"/>
      <c r="E281" s="175" t="e">
        <f>IF(B281="-","",INDEX('Inventaire M'!$A$2:$AW$9305,MATCH(B281,'Inventaire M'!$A:$A,0)-1,MATCH("Cours EUR",'Inventaire M'!#REF!,0)))</f>
        <v>#REF!</v>
      </c>
      <c r="F281" s="175" t="str">
        <f>IF(B281="-","",IF(ISERROR(INDEX('Inventaire M-1'!$A$2:$AZ$9320,MATCH(B281,'Inventaire M-1'!$A:$A,0)-1,MATCH("Cours EUR",'Inventaire M-1'!#REF!,0))),"Buy",INDEX('Inventaire M-1'!$A$2:$AZ$9320,MATCH(B281,'Inventaire M-1'!$A:$A,0)-1,MATCH("Cours EUR",'Inventaire M-1'!#REF!,0))))</f>
        <v>Buy</v>
      </c>
      <c r="G281" s="175"/>
      <c r="H281" s="156" t="e">
        <f>IF(B281="-","",INDEX('Inventaire M'!$A$2:$AW$9305,MATCH(B281,'Inventaire M'!$A:$A,0)-1,MATCH("quantite",'Inventaire M'!#REF!,0)))</f>
        <v>#REF!</v>
      </c>
      <c r="I281" s="156" t="str">
        <f>IF(C281="-","",IF(ISERROR(INDEX('Inventaire M-1'!$A$2:$AZ$9320,MATCH(B281,'Inventaire M-1'!$A:$A,0)-1,MATCH("quantite",'Inventaire M-1'!#REF!,0))),"Buy",INDEX('Inventaire M-1'!$A$2:$AZ$9320,MATCH(B281,'Inventaire M-1'!$A:$A,0)-1,MATCH("quantite",'Inventaire M-1'!#REF!,0))))</f>
        <v>Buy</v>
      </c>
      <c r="J281" s="175"/>
      <c r="K281" s="155" t="e">
        <f>IF(B281="-","",INDEX('Inventaire M'!$A$2:$AW$9305,MATCH(B281,'Inventaire M'!$A:$A,0)-1,MATCH("poids",'Inventaire M'!#REF!,0)))</f>
        <v>#REF!</v>
      </c>
      <c r="L281" s="155" t="str">
        <f>IF(B281="-","",IF(ISERROR(INDEX('Inventaire M-1'!$A$2:$AZ$9320,MATCH(B281,'Inventaire M-1'!$A:$A,0)-1,MATCH("poids",'Inventaire M-1'!#REF!,0))),"Buy",INDEX('Inventaire M-1'!$A$2:$AZ$9320,MATCH(B281,'Inventaire M-1'!$A:$A,0)-1,MATCH("poids",'Inventaire M-1'!#REF!,0))))</f>
        <v>Buy</v>
      </c>
      <c r="M281" s="175"/>
      <c r="N281" s="157" t="str">
        <f t="shared" si="24"/>
        <v>0</v>
      </c>
      <c r="O281" s="98" t="str">
        <f t="shared" si="25"/>
        <v/>
      </c>
      <c r="P281" s="80" t="str">
        <f t="shared" si="26"/>
        <v>ADECCO INTERNATIONAL FINANCIAL SER 21/03/2082</v>
      </c>
      <c r="Q281" s="75">
        <v>2.5699999999999999E-8</v>
      </c>
      <c r="R281" s="175" t="str">
        <f>IF(OR('Inventaire M-1'!D34="Dispo/Liquidité Investie",'Inventaire M-1'!D34="Option/Future",'Inventaire M-1'!D34="TCN",'Inventaire M-1'!D34=""),"-",'Inventaire M-1'!A34)</f>
        <v>XS2053846262</v>
      </c>
      <c r="S281" s="175" t="str">
        <f>IF(OR('Inventaire M-1'!D34="Dispo/Liquidité Investie",'Inventaire M-1'!D34="Option/Future",'Inventaire M-1'!D34="TCN",'Inventaire M-1'!D34=""),"-",'Inventaire M-1'!B34)</f>
        <v>ALTICE FRANCE SA (FRANCE) 3.375 15/01/2028</v>
      </c>
      <c r="T281" s="175"/>
      <c r="U281" s="175" t="e">
        <f>IF(R281="-","",INDEX('Inventaire M-1'!$A$2:$AG$9334,MATCH(R281,'Inventaire M-1'!$A:$A,0)-1,MATCH("Cours EUR",'Inventaire M-1'!#REF!,0)))</f>
        <v>#REF!</v>
      </c>
      <c r="V281" s="175" t="str">
        <f>IF(R281="-","",IF(ISERROR(INDEX('Inventaire M'!$A$2:$AD$9319,MATCH(R281,'Inventaire M'!$A:$A,0)-1,MATCH("Cours EUR",'Inventaire M'!#REF!,0))),"Sell",INDEX('Inventaire M'!$A$2:$AD$9319,MATCH(R281,'Inventaire M'!$A:$A,0)-1,MATCH("Cours EUR",'Inventaire M'!#REF!,0))))</f>
        <v>Sell</v>
      </c>
      <c r="W281" s="175"/>
      <c r="X281" s="156" t="e">
        <f>IF(R281="-","",INDEX('Inventaire M-1'!$A$2:$AG$9334,MATCH(R281,'Inventaire M-1'!$A:$A,0)-1,MATCH("quantite",'Inventaire M-1'!#REF!,0)))</f>
        <v>#REF!</v>
      </c>
      <c r="Y281" s="156" t="str">
        <f>IF(S281="-","",IF(ISERROR(INDEX('Inventaire M'!$A$2:$AD$9319,MATCH(R281,'Inventaire M'!$A:$A,0)-1,MATCH("quantite",'Inventaire M'!#REF!,0))),"Sell",INDEX('Inventaire M'!$A$2:$AD$9319,MATCH(R281,'Inventaire M'!$A:$A,0)-1,MATCH("quantite",'Inventaire M'!#REF!,0))))</f>
        <v>Sell</v>
      </c>
      <c r="Z281" s="175"/>
      <c r="AA281" s="155" t="e">
        <f>IF(R281="-","",INDEX('Inventaire M-1'!$A$2:$AG$9334,MATCH(R281,'Inventaire M-1'!$A:$A,0)-1,MATCH("poids",'Inventaire M-1'!#REF!,0)))</f>
        <v>#REF!</v>
      </c>
      <c r="AB281" s="155" t="str">
        <f>IF(R281="-","",IF(ISERROR(INDEX('Inventaire M'!$A$2:$AD$9319,MATCH(R281,'Inventaire M'!$A:$A,0)-1,MATCH("poids",'Inventaire M'!#REF!,0))),"Sell",INDEX('Inventaire M'!$A$2:$AD$9319,MATCH(R281,'Inventaire M'!$A:$A,0)-1,MATCH("poids",'Inventaire M'!#REF!,0))))</f>
        <v>Sell</v>
      </c>
      <c r="AC281" s="175"/>
      <c r="AD281" s="157" t="str">
        <f t="shared" si="27"/>
        <v>0</v>
      </c>
      <c r="AE281" s="98" t="str">
        <f t="shared" si="28"/>
        <v/>
      </c>
      <c r="AF281" s="80" t="str">
        <f t="shared" si="29"/>
        <v>ALTICE FRANCE SA (FRANCE) 3.375 15/01/2028</v>
      </c>
    </row>
    <row r="282" spans="2:32" outlineLevel="1">
      <c r="B282" s="175" t="str">
        <f>IF(OR('Inventaire M'!D60="Dispo/Liquidité Investie",'Inventaire M'!D60="Option/Future",'Inventaire M'!D60="TCN",'Inventaire M'!D60=""),"-",'Inventaire M'!A60)</f>
        <v>XS2388186996</v>
      </c>
      <c r="C282" s="175" t="str">
        <f>IF(OR('Inventaire M'!D60="Dispo/Liquidité Investie",'Inventaire M'!D60="Option/Future",'Inventaire M'!D60="TCN",'Inventaire M'!D60=""),"-",'Inventaire M'!B60)</f>
        <v>CIRSA FINANCE INTERNATIONAL SARL 4.5 15/03/2027</v>
      </c>
      <c r="D282" s="175"/>
      <c r="E282" s="175" t="e">
        <f>IF(B282="-","",INDEX('Inventaire M'!$A$2:$AW$9305,MATCH(B282,'Inventaire M'!$A:$A,0)-1,MATCH("Cours EUR",'Inventaire M'!#REF!,0)))</f>
        <v>#REF!</v>
      </c>
      <c r="F282" s="175" t="str">
        <f>IF(B282="-","",IF(ISERROR(INDEX('Inventaire M-1'!$A$2:$AZ$9320,MATCH(B282,'Inventaire M-1'!$A:$A,0)-1,MATCH("Cours EUR",'Inventaire M-1'!#REF!,0))),"Buy",INDEX('Inventaire M-1'!$A$2:$AZ$9320,MATCH(B282,'Inventaire M-1'!$A:$A,0)-1,MATCH("Cours EUR",'Inventaire M-1'!#REF!,0))))</f>
        <v>Buy</v>
      </c>
      <c r="G282" s="175"/>
      <c r="H282" s="156" t="e">
        <f>IF(B282="-","",INDEX('Inventaire M'!$A$2:$AW$9305,MATCH(B282,'Inventaire M'!$A:$A,0)-1,MATCH("quantite",'Inventaire M'!#REF!,0)))</f>
        <v>#REF!</v>
      </c>
      <c r="I282" s="156" t="str">
        <f>IF(C282="-","",IF(ISERROR(INDEX('Inventaire M-1'!$A$2:$AZ$9320,MATCH(B282,'Inventaire M-1'!$A:$A,0)-1,MATCH("quantite",'Inventaire M-1'!#REF!,0))),"Buy",INDEX('Inventaire M-1'!$A$2:$AZ$9320,MATCH(B282,'Inventaire M-1'!$A:$A,0)-1,MATCH("quantite",'Inventaire M-1'!#REF!,0))))</f>
        <v>Buy</v>
      </c>
      <c r="J282" s="175"/>
      <c r="K282" s="155" t="e">
        <f>IF(B282="-","",INDEX('Inventaire M'!$A$2:$AW$9305,MATCH(B282,'Inventaire M'!$A:$A,0)-1,MATCH("poids",'Inventaire M'!#REF!,0)))</f>
        <v>#REF!</v>
      </c>
      <c r="L282" s="155" t="str">
        <f>IF(B282="-","",IF(ISERROR(INDEX('Inventaire M-1'!$A$2:$AZ$9320,MATCH(B282,'Inventaire M-1'!$A:$A,0)-1,MATCH("poids",'Inventaire M-1'!#REF!,0))),"Buy",INDEX('Inventaire M-1'!$A$2:$AZ$9320,MATCH(B282,'Inventaire M-1'!$A:$A,0)-1,MATCH("poids",'Inventaire M-1'!#REF!,0))))</f>
        <v>Buy</v>
      </c>
      <c r="M282" s="175"/>
      <c r="N282" s="157" t="str">
        <f t="shared" ref="N282:N345" si="30">IFERROR(IF(I282="Buy",H282,H282-I282),"0")</f>
        <v>0</v>
      </c>
      <c r="O282" s="98" t="str">
        <f t="shared" ref="O282:O345" si="31">IFERROR(IF(N282&gt;0,IF(L282="Buy",K282,K282-L282)+Q282,""),"")</f>
        <v/>
      </c>
      <c r="P282" s="80" t="str">
        <f t="shared" ref="P282:P345" si="32">C282</f>
        <v>CIRSA FINANCE INTERNATIONAL SARL 4.5 15/03/2027</v>
      </c>
      <c r="Q282" s="75">
        <v>2.5799999999999999E-8</v>
      </c>
      <c r="R282" s="175" t="str">
        <f>IF(OR('Inventaire M-1'!D35="Dispo/Liquidité Investie",'Inventaire M-1'!D35="Option/Future",'Inventaire M-1'!D35="TCN",'Inventaire M-1'!D35=""),"-",'Inventaire M-1'!A35)</f>
        <v>XS2056730679</v>
      </c>
      <c r="S282" s="175" t="str">
        <f>IF(OR('Inventaire M-1'!D35="Dispo/Liquidité Investie",'Inventaire M-1'!D35="Option/Future",'Inventaire M-1'!D35="TCN",'Inventaire M-1'!D35=""),"-",'Inventaire M-1'!B35)</f>
        <v>INFINEON TECHNOLOGIES AG PERP</v>
      </c>
      <c r="T282" s="175"/>
      <c r="U282" s="175" t="e">
        <f>IF(R282="-","",INDEX('Inventaire M-1'!$A$2:$AG$9334,MATCH(R282,'Inventaire M-1'!$A:$A,0)-1,MATCH("Cours EUR",'Inventaire M-1'!#REF!,0)))</f>
        <v>#REF!</v>
      </c>
      <c r="V282" s="175" t="str">
        <f>IF(R282="-","",IF(ISERROR(INDEX('Inventaire M'!$A$2:$AD$9319,MATCH(R282,'Inventaire M'!$A:$A,0)-1,MATCH("Cours EUR",'Inventaire M'!#REF!,0))),"Sell",INDEX('Inventaire M'!$A$2:$AD$9319,MATCH(R282,'Inventaire M'!$A:$A,0)-1,MATCH("Cours EUR",'Inventaire M'!#REF!,0))))</f>
        <v>Sell</v>
      </c>
      <c r="W282" s="175"/>
      <c r="X282" s="156" t="e">
        <f>IF(R282="-","",INDEX('Inventaire M-1'!$A$2:$AG$9334,MATCH(R282,'Inventaire M-1'!$A:$A,0)-1,MATCH("quantite",'Inventaire M-1'!#REF!,0)))</f>
        <v>#REF!</v>
      </c>
      <c r="Y282" s="156" t="str">
        <f>IF(S282="-","",IF(ISERROR(INDEX('Inventaire M'!$A$2:$AD$9319,MATCH(R282,'Inventaire M'!$A:$A,0)-1,MATCH("quantite",'Inventaire M'!#REF!,0))),"Sell",INDEX('Inventaire M'!$A$2:$AD$9319,MATCH(R282,'Inventaire M'!$A:$A,0)-1,MATCH("quantite",'Inventaire M'!#REF!,0))))</f>
        <v>Sell</v>
      </c>
      <c r="Z282" s="175"/>
      <c r="AA282" s="155" t="e">
        <f>IF(R282="-","",INDEX('Inventaire M-1'!$A$2:$AG$9334,MATCH(R282,'Inventaire M-1'!$A:$A,0)-1,MATCH("poids",'Inventaire M-1'!#REF!,0)))</f>
        <v>#REF!</v>
      </c>
      <c r="AB282" s="155" t="str">
        <f>IF(R282="-","",IF(ISERROR(INDEX('Inventaire M'!$A$2:$AD$9319,MATCH(R282,'Inventaire M'!$A:$A,0)-1,MATCH("poids",'Inventaire M'!#REF!,0))),"Sell",INDEX('Inventaire M'!$A$2:$AD$9319,MATCH(R282,'Inventaire M'!$A:$A,0)-1,MATCH("poids",'Inventaire M'!#REF!,0))))</f>
        <v>Sell</v>
      </c>
      <c r="AC282" s="175"/>
      <c r="AD282" s="157" t="str">
        <f t="shared" ref="AD282:AD345" si="33">IFERROR(IF(Y282="Sell",-X282,Y282-X282),"0")</f>
        <v>0</v>
      </c>
      <c r="AE282" s="98" t="str">
        <f t="shared" ref="AE282:AE345" si="34">IFERROR(IF(AD282&lt;0,IF(AB282="Sell",AA282+10%,AB282-AA282)+Q282,""),"")</f>
        <v/>
      </c>
      <c r="AF282" s="80" t="str">
        <f t="shared" ref="AF282:AF345" si="35">S282</f>
        <v>INFINEON TECHNOLOGIES AG PERP</v>
      </c>
    </row>
    <row r="283" spans="2:32" outlineLevel="1">
      <c r="B283" s="175" t="str">
        <f>IF(OR('Inventaire M'!D61="Dispo/Liquidité Investie",'Inventaire M'!D61="Option/Future",'Inventaire M'!D61="TCN",'Inventaire M'!D61=""),"-",'Inventaire M'!A61)</f>
        <v>XS2389984175</v>
      </c>
      <c r="C283" s="175" t="str">
        <f>IF(OR('Inventaire M'!D61="Dispo/Liquidité Investie",'Inventaire M'!D61="Option/Future",'Inventaire M'!D61="TCN",'Inventaire M'!D61=""),"-",'Inventaire M'!B61)</f>
        <v>EC FINANCE PLC 3 15/10/2026</v>
      </c>
      <c r="D283" s="175"/>
      <c r="E283" s="175" t="e">
        <f>IF(B283="-","",INDEX('Inventaire M'!$A$2:$AW$9305,MATCH(B283,'Inventaire M'!$A:$A,0)-1,MATCH("Cours EUR",'Inventaire M'!#REF!,0)))</f>
        <v>#REF!</v>
      </c>
      <c r="F283" s="175" t="str">
        <f>IF(B283="-","",IF(ISERROR(INDEX('Inventaire M-1'!$A$2:$AZ$9320,MATCH(B283,'Inventaire M-1'!$A:$A,0)-1,MATCH("Cours EUR",'Inventaire M-1'!#REF!,0))),"Buy",INDEX('Inventaire M-1'!$A$2:$AZ$9320,MATCH(B283,'Inventaire M-1'!$A:$A,0)-1,MATCH("Cours EUR",'Inventaire M-1'!#REF!,0))))</f>
        <v>Buy</v>
      </c>
      <c r="G283" s="175"/>
      <c r="H283" s="156" t="e">
        <f>IF(B283="-","",INDEX('Inventaire M'!$A$2:$AW$9305,MATCH(B283,'Inventaire M'!$A:$A,0)-1,MATCH("quantite",'Inventaire M'!#REF!,0)))</f>
        <v>#REF!</v>
      </c>
      <c r="I283" s="156" t="str">
        <f>IF(C283="-","",IF(ISERROR(INDEX('Inventaire M-1'!$A$2:$AZ$9320,MATCH(B283,'Inventaire M-1'!$A:$A,0)-1,MATCH("quantite",'Inventaire M-1'!#REF!,0))),"Buy",INDEX('Inventaire M-1'!$A$2:$AZ$9320,MATCH(B283,'Inventaire M-1'!$A:$A,0)-1,MATCH("quantite",'Inventaire M-1'!#REF!,0))))</f>
        <v>Buy</v>
      </c>
      <c r="J283" s="175"/>
      <c r="K283" s="155" t="e">
        <f>IF(B283="-","",INDEX('Inventaire M'!$A$2:$AW$9305,MATCH(B283,'Inventaire M'!$A:$A,0)-1,MATCH("poids",'Inventaire M'!#REF!,0)))</f>
        <v>#REF!</v>
      </c>
      <c r="L283" s="155" t="str">
        <f>IF(B283="-","",IF(ISERROR(INDEX('Inventaire M-1'!$A$2:$AZ$9320,MATCH(B283,'Inventaire M-1'!$A:$A,0)-1,MATCH("poids",'Inventaire M-1'!#REF!,0))),"Buy",INDEX('Inventaire M-1'!$A$2:$AZ$9320,MATCH(B283,'Inventaire M-1'!$A:$A,0)-1,MATCH("poids",'Inventaire M-1'!#REF!,0))))</f>
        <v>Buy</v>
      </c>
      <c r="M283" s="175"/>
      <c r="N283" s="157" t="str">
        <f t="shared" si="30"/>
        <v>0</v>
      </c>
      <c r="O283" s="98" t="str">
        <f t="shared" si="31"/>
        <v/>
      </c>
      <c r="P283" s="80" t="str">
        <f t="shared" si="32"/>
        <v>EC FINANCE PLC 3 15/10/2026</v>
      </c>
      <c r="Q283" s="75">
        <v>2.59E-8</v>
      </c>
      <c r="R283" s="175" t="str">
        <f>IF(OR('Inventaire M-1'!D36="Dispo/Liquidité Investie",'Inventaire M-1'!D36="Option/Future",'Inventaire M-1'!D36="TCN",'Inventaire M-1'!D36=""),"-",'Inventaire M-1'!A36)</f>
        <v>XS2103218538</v>
      </c>
      <c r="S283" s="175" t="str">
        <f>IF(OR('Inventaire M-1'!D36="Dispo/Liquidité Investie",'Inventaire M-1'!D36="Option/Future",'Inventaire M-1'!D36="TCN",'Inventaire M-1'!D36=""),"-",'Inventaire M-1'!B36)</f>
        <v>ASHLAND SERVICES B.V. 2 30/01/2028</v>
      </c>
      <c r="T283" s="175"/>
      <c r="U283" s="175" t="e">
        <f>IF(R283="-","",INDEX('Inventaire M-1'!$A$2:$AG$9334,MATCH(R283,'Inventaire M-1'!$A:$A,0)-1,MATCH("Cours EUR",'Inventaire M-1'!#REF!,0)))</f>
        <v>#REF!</v>
      </c>
      <c r="V283" s="175" t="str">
        <f>IF(R283="-","",IF(ISERROR(INDEX('Inventaire M'!$A$2:$AD$9319,MATCH(R283,'Inventaire M'!$A:$A,0)-1,MATCH("Cours EUR",'Inventaire M'!#REF!,0))),"Sell",INDEX('Inventaire M'!$A$2:$AD$9319,MATCH(R283,'Inventaire M'!$A:$A,0)-1,MATCH("Cours EUR",'Inventaire M'!#REF!,0))))</f>
        <v>Sell</v>
      </c>
      <c r="W283" s="175"/>
      <c r="X283" s="156" t="e">
        <f>IF(R283="-","",INDEX('Inventaire M-1'!$A$2:$AG$9334,MATCH(R283,'Inventaire M-1'!$A:$A,0)-1,MATCH("quantite",'Inventaire M-1'!#REF!,0)))</f>
        <v>#REF!</v>
      </c>
      <c r="Y283" s="156" t="str">
        <f>IF(S283="-","",IF(ISERROR(INDEX('Inventaire M'!$A$2:$AD$9319,MATCH(R283,'Inventaire M'!$A:$A,0)-1,MATCH("quantite",'Inventaire M'!#REF!,0))),"Sell",INDEX('Inventaire M'!$A$2:$AD$9319,MATCH(R283,'Inventaire M'!$A:$A,0)-1,MATCH("quantite",'Inventaire M'!#REF!,0))))</f>
        <v>Sell</v>
      </c>
      <c r="Z283" s="175"/>
      <c r="AA283" s="155" t="e">
        <f>IF(R283="-","",INDEX('Inventaire M-1'!$A$2:$AG$9334,MATCH(R283,'Inventaire M-1'!$A:$A,0)-1,MATCH("poids",'Inventaire M-1'!#REF!,0)))</f>
        <v>#REF!</v>
      </c>
      <c r="AB283" s="155" t="str">
        <f>IF(R283="-","",IF(ISERROR(INDEX('Inventaire M'!$A$2:$AD$9319,MATCH(R283,'Inventaire M'!$A:$A,0)-1,MATCH("poids",'Inventaire M'!#REF!,0))),"Sell",INDEX('Inventaire M'!$A$2:$AD$9319,MATCH(R283,'Inventaire M'!$A:$A,0)-1,MATCH("poids",'Inventaire M'!#REF!,0))))</f>
        <v>Sell</v>
      </c>
      <c r="AC283" s="175"/>
      <c r="AD283" s="157" t="str">
        <f t="shared" si="33"/>
        <v>0</v>
      </c>
      <c r="AE283" s="98" t="str">
        <f t="shared" si="34"/>
        <v/>
      </c>
      <c r="AF283" s="80" t="str">
        <f t="shared" si="35"/>
        <v>ASHLAND SERVICES B.V. 2 30/01/2028</v>
      </c>
    </row>
    <row r="284" spans="2:32" outlineLevel="1">
      <c r="B284" s="175" t="str">
        <f>IF(OR('Inventaire M'!D62="Dispo/Liquidité Investie",'Inventaire M'!D62="Option/Future",'Inventaire M'!D62="TCN",'Inventaire M'!D62=""),"-",'Inventaire M'!A62)</f>
        <v>XS2390152986</v>
      </c>
      <c r="C284" s="175" t="str">
        <f>IF(OR('Inventaire M'!D62="Dispo/Liquidité Investie",'Inventaire M'!D62="Option/Future",'Inventaire M'!D62="TCN",'Inventaire M'!D62=""),"-",'Inventaire M'!B62)</f>
        <v>ALTICE FRANCE SA (FRANCE) 4.25 15/10/2029</v>
      </c>
      <c r="D284" s="175"/>
      <c r="E284" s="175" t="e">
        <f>IF(B284="-","",INDEX('Inventaire M'!$A$2:$AW$9305,MATCH(B284,'Inventaire M'!$A:$A,0)-1,MATCH("Cours EUR",'Inventaire M'!#REF!,0)))</f>
        <v>#REF!</v>
      </c>
      <c r="F284" s="175" t="str">
        <f>IF(B284="-","",IF(ISERROR(INDEX('Inventaire M-1'!$A$2:$AZ$9320,MATCH(B284,'Inventaire M-1'!$A:$A,0)-1,MATCH("Cours EUR",'Inventaire M-1'!#REF!,0))),"Buy",INDEX('Inventaire M-1'!$A$2:$AZ$9320,MATCH(B284,'Inventaire M-1'!$A:$A,0)-1,MATCH("Cours EUR",'Inventaire M-1'!#REF!,0))))</f>
        <v>Buy</v>
      </c>
      <c r="G284" s="175"/>
      <c r="H284" s="156" t="e">
        <f>IF(B284="-","",INDEX('Inventaire M'!$A$2:$AW$9305,MATCH(B284,'Inventaire M'!$A:$A,0)-1,MATCH("quantite",'Inventaire M'!#REF!,0)))</f>
        <v>#REF!</v>
      </c>
      <c r="I284" s="156" t="str">
        <f>IF(C284="-","",IF(ISERROR(INDEX('Inventaire M-1'!$A$2:$AZ$9320,MATCH(B284,'Inventaire M-1'!$A:$A,0)-1,MATCH("quantite",'Inventaire M-1'!#REF!,0))),"Buy",INDEX('Inventaire M-1'!$A$2:$AZ$9320,MATCH(B284,'Inventaire M-1'!$A:$A,0)-1,MATCH("quantite",'Inventaire M-1'!#REF!,0))))</f>
        <v>Buy</v>
      </c>
      <c r="J284" s="175"/>
      <c r="K284" s="155" t="e">
        <f>IF(B284="-","",INDEX('Inventaire M'!$A$2:$AW$9305,MATCH(B284,'Inventaire M'!$A:$A,0)-1,MATCH("poids",'Inventaire M'!#REF!,0)))</f>
        <v>#REF!</v>
      </c>
      <c r="L284" s="155" t="str">
        <f>IF(B284="-","",IF(ISERROR(INDEX('Inventaire M-1'!$A$2:$AZ$9320,MATCH(B284,'Inventaire M-1'!$A:$A,0)-1,MATCH("poids",'Inventaire M-1'!#REF!,0))),"Buy",INDEX('Inventaire M-1'!$A$2:$AZ$9320,MATCH(B284,'Inventaire M-1'!$A:$A,0)-1,MATCH("poids",'Inventaire M-1'!#REF!,0))))</f>
        <v>Buy</v>
      </c>
      <c r="M284" s="175"/>
      <c r="N284" s="157" t="str">
        <f t="shared" si="30"/>
        <v>0</v>
      </c>
      <c r="O284" s="98" t="str">
        <f t="shared" si="31"/>
        <v/>
      </c>
      <c r="P284" s="80" t="str">
        <f t="shared" si="32"/>
        <v>ALTICE FRANCE SA (FRANCE) 4.25 15/10/2029</v>
      </c>
      <c r="Q284" s="75">
        <v>2.6000000000000001E-8</v>
      </c>
      <c r="R284" s="175" t="str">
        <f>IF(OR('Inventaire M-1'!D37="Dispo/Liquidité Investie",'Inventaire M-1'!D37="Option/Future",'Inventaire M-1'!D37="TCN",'Inventaire M-1'!D37=""),"-",'Inventaire M-1'!A37)</f>
        <v>XS2111944133</v>
      </c>
      <c r="S284" s="175" t="str">
        <f>IF(OR('Inventaire M-1'!D37="Dispo/Liquidité Investie",'Inventaire M-1'!D37="Option/Future",'Inventaire M-1'!D37="TCN",'Inventaire M-1'!D37=""),"-",'Inventaire M-1'!B37)</f>
        <v>ARENA LUXEMBOURG FINANCE SARL 1.875 01/02/2028</v>
      </c>
      <c r="T284" s="175"/>
      <c r="U284" s="175" t="e">
        <f>IF(R284="-","",INDEX('Inventaire M-1'!$A$2:$AG$9334,MATCH(R284,'Inventaire M-1'!$A:$A,0)-1,MATCH("Cours EUR",'Inventaire M-1'!#REF!,0)))</f>
        <v>#REF!</v>
      </c>
      <c r="V284" s="175" t="str">
        <f>IF(R284="-","",IF(ISERROR(INDEX('Inventaire M'!$A$2:$AD$9319,MATCH(R284,'Inventaire M'!$A:$A,0)-1,MATCH("Cours EUR",'Inventaire M'!#REF!,0))),"Sell",INDEX('Inventaire M'!$A$2:$AD$9319,MATCH(R284,'Inventaire M'!$A:$A,0)-1,MATCH("Cours EUR",'Inventaire M'!#REF!,0))))</f>
        <v>Sell</v>
      </c>
      <c r="W284" s="175"/>
      <c r="X284" s="156" t="e">
        <f>IF(R284="-","",INDEX('Inventaire M-1'!$A$2:$AG$9334,MATCH(R284,'Inventaire M-1'!$A:$A,0)-1,MATCH("quantite",'Inventaire M-1'!#REF!,0)))</f>
        <v>#REF!</v>
      </c>
      <c r="Y284" s="156" t="str">
        <f>IF(S284="-","",IF(ISERROR(INDEX('Inventaire M'!$A$2:$AD$9319,MATCH(R284,'Inventaire M'!$A:$A,0)-1,MATCH("quantite",'Inventaire M'!#REF!,0))),"Sell",INDEX('Inventaire M'!$A$2:$AD$9319,MATCH(R284,'Inventaire M'!$A:$A,0)-1,MATCH("quantite",'Inventaire M'!#REF!,0))))</f>
        <v>Sell</v>
      </c>
      <c r="Z284" s="175"/>
      <c r="AA284" s="155" t="e">
        <f>IF(R284="-","",INDEX('Inventaire M-1'!$A$2:$AG$9334,MATCH(R284,'Inventaire M-1'!$A:$A,0)-1,MATCH("poids",'Inventaire M-1'!#REF!,0)))</f>
        <v>#REF!</v>
      </c>
      <c r="AB284" s="155" t="str">
        <f>IF(R284="-","",IF(ISERROR(INDEX('Inventaire M'!$A$2:$AD$9319,MATCH(R284,'Inventaire M'!$A:$A,0)-1,MATCH("poids",'Inventaire M'!#REF!,0))),"Sell",INDEX('Inventaire M'!$A$2:$AD$9319,MATCH(R284,'Inventaire M'!$A:$A,0)-1,MATCH("poids",'Inventaire M'!#REF!,0))))</f>
        <v>Sell</v>
      </c>
      <c r="AC284" s="175"/>
      <c r="AD284" s="157" t="str">
        <f t="shared" si="33"/>
        <v>0</v>
      </c>
      <c r="AE284" s="98" t="str">
        <f t="shared" si="34"/>
        <v/>
      </c>
      <c r="AF284" s="80" t="str">
        <f t="shared" si="35"/>
        <v>ARENA LUXEMBOURG FINANCE SARL 1.875 01/02/2028</v>
      </c>
    </row>
    <row r="285" spans="2:32" outlineLevel="1">
      <c r="B285" s="175" t="str">
        <f>IF(OR('Inventaire M'!D63="Dispo/Liquidité Investie",'Inventaire M'!D63="Option/Future",'Inventaire M'!D63="TCN",'Inventaire M'!D63=""),"-",'Inventaire M'!A63)</f>
        <v>XS2391403354</v>
      </c>
      <c r="C285" s="175" t="str">
        <f>IF(OR('Inventaire M'!D63="Dispo/Liquidité Investie",'Inventaire M'!D63="Option/Future",'Inventaire M'!D63="TCN",'Inventaire M'!D63=""),"-",'Inventaire M'!B63)</f>
        <v>DOMETIC GROUP AB (PUBL) 2 29/09/2028</v>
      </c>
      <c r="D285" s="175"/>
      <c r="E285" s="175" t="e">
        <f>IF(B285="-","",INDEX('Inventaire M'!$A$2:$AW$9305,MATCH(B285,'Inventaire M'!$A:$A,0)-1,MATCH("Cours EUR",'Inventaire M'!#REF!,0)))</f>
        <v>#REF!</v>
      </c>
      <c r="F285" s="175" t="str">
        <f>IF(B285="-","",IF(ISERROR(INDEX('Inventaire M-1'!$A$2:$AZ$9320,MATCH(B285,'Inventaire M-1'!$A:$A,0)-1,MATCH("Cours EUR",'Inventaire M-1'!#REF!,0))),"Buy",INDEX('Inventaire M-1'!$A$2:$AZ$9320,MATCH(B285,'Inventaire M-1'!$A:$A,0)-1,MATCH("Cours EUR",'Inventaire M-1'!#REF!,0))))</f>
        <v>Buy</v>
      </c>
      <c r="G285" s="175"/>
      <c r="H285" s="156" t="e">
        <f>IF(B285="-","",INDEX('Inventaire M'!$A$2:$AW$9305,MATCH(B285,'Inventaire M'!$A:$A,0)-1,MATCH("quantite",'Inventaire M'!#REF!,0)))</f>
        <v>#REF!</v>
      </c>
      <c r="I285" s="156" t="str">
        <f>IF(C285="-","",IF(ISERROR(INDEX('Inventaire M-1'!$A$2:$AZ$9320,MATCH(B285,'Inventaire M-1'!$A:$A,0)-1,MATCH("quantite",'Inventaire M-1'!#REF!,0))),"Buy",INDEX('Inventaire M-1'!$A$2:$AZ$9320,MATCH(B285,'Inventaire M-1'!$A:$A,0)-1,MATCH("quantite",'Inventaire M-1'!#REF!,0))))</f>
        <v>Buy</v>
      </c>
      <c r="J285" s="175"/>
      <c r="K285" s="155" t="e">
        <f>IF(B285="-","",INDEX('Inventaire M'!$A$2:$AW$9305,MATCH(B285,'Inventaire M'!$A:$A,0)-1,MATCH("poids",'Inventaire M'!#REF!,0)))</f>
        <v>#REF!</v>
      </c>
      <c r="L285" s="155" t="str">
        <f>IF(B285="-","",IF(ISERROR(INDEX('Inventaire M-1'!$A$2:$AZ$9320,MATCH(B285,'Inventaire M-1'!$A:$A,0)-1,MATCH("poids",'Inventaire M-1'!#REF!,0))),"Buy",INDEX('Inventaire M-1'!$A$2:$AZ$9320,MATCH(B285,'Inventaire M-1'!$A:$A,0)-1,MATCH("poids",'Inventaire M-1'!#REF!,0))))</f>
        <v>Buy</v>
      </c>
      <c r="M285" s="175"/>
      <c r="N285" s="157" t="str">
        <f t="shared" si="30"/>
        <v>0</v>
      </c>
      <c r="O285" s="98" t="str">
        <f t="shared" si="31"/>
        <v/>
      </c>
      <c r="P285" s="80" t="str">
        <f t="shared" si="32"/>
        <v>DOMETIC GROUP AB (PUBL) 2 29/09/2028</v>
      </c>
      <c r="Q285" s="75">
        <v>2.6099999999999999E-8</v>
      </c>
      <c r="R285" s="175" t="str">
        <f>IF(OR('Inventaire M-1'!D38="Dispo/Liquidité Investie",'Inventaire M-1'!D38="Option/Future",'Inventaire M-1'!D38="TCN",'Inventaire M-1'!D38=""),"-",'Inventaire M-1'!A38)</f>
        <v>XS2113253210</v>
      </c>
      <c r="S285" s="175" t="str">
        <f>IF(OR('Inventaire M-1'!D38="Dispo/Liquidité Investie",'Inventaire M-1'!D38="Option/Future",'Inventaire M-1'!D38="TCN",'Inventaire M-1'!D38=""),"-",'Inventaire M-1'!B38)</f>
        <v>SAZKA GROUP AS 3.875 15/02/2027</v>
      </c>
      <c r="T285" s="175"/>
      <c r="U285" s="175" t="e">
        <f>IF(R285="-","",INDEX('Inventaire M-1'!$A$2:$AG$9334,MATCH(R285,'Inventaire M-1'!$A:$A,0)-1,MATCH("Cours EUR",'Inventaire M-1'!#REF!,0)))</f>
        <v>#REF!</v>
      </c>
      <c r="V285" s="175" t="str">
        <f>IF(R285="-","",IF(ISERROR(INDEX('Inventaire M'!$A$2:$AD$9319,MATCH(R285,'Inventaire M'!$A:$A,0)-1,MATCH("Cours EUR",'Inventaire M'!#REF!,0))),"Sell",INDEX('Inventaire M'!$A$2:$AD$9319,MATCH(R285,'Inventaire M'!$A:$A,0)-1,MATCH("Cours EUR",'Inventaire M'!#REF!,0))))</f>
        <v>Sell</v>
      </c>
      <c r="W285" s="175"/>
      <c r="X285" s="156" t="e">
        <f>IF(R285="-","",INDEX('Inventaire M-1'!$A$2:$AG$9334,MATCH(R285,'Inventaire M-1'!$A:$A,0)-1,MATCH("quantite",'Inventaire M-1'!#REF!,0)))</f>
        <v>#REF!</v>
      </c>
      <c r="Y285" s="156" t="str">
        <f>IF(S285="-","",IF(ISERROR(INDEX('Inventaire M'!$A$2:$AD$9319,MATCH(R285,'Inventaire M'!$A:$A,0)-1,MATCH("quantite",'Inventaire M'!#REF!,0))),"Sell",INDEX('Inventaire M'!$A$2:$AD$9319,MATCH(R285,'Inventaire M'!$A:$A,0)-1,MATCH("quantite",'Inventaire M'!#REF!,0))))</f>
        <v>Sell</v>
      </c>
      <c r="Z285" s="175"/>
      <c r="AA285" s="155" t="e">
        <f>IF(R285="-","",INDEX('Inventaire M-1'!$A$2:$AG$9334,MATCH(R285,'Inventaire M-1'!$A:$A,0)-1,MATCH("poids",'Inventaire M-1'!#REF!,0)))</f>
        <v>#REF!</v>
      </c>
      <c r="AB285" s="155" t="str">
        <f>IF(R285="-","",IF(ISERROR(INDEX('Inventaire M'!$A$2:$AD$9319,MATCH(R285,'Inventaire M'!$A:$A,0)-1,MATCH("poids",'Inventaire M'!#REF!,0))),"Sell",INDEX('Inventaire M'!$A$2:$AD$9319,MATCH(R285,'Inventaire M'!$A:$A,0)-1,MATCH("poids",'Inventaire M'!#REF!,0))))</f>
        <v>Sell</v>
      </c>
      <c r="AC285" s="175"/>
      <c r="AD285" s="157" t="str">
        <f t="shared" si="33"/>
        <v>0</v>
      </c>
      <c r="AE285" s="98" t="str">
        <f t="shared" si="34"/>
        <v/>
      </c>
      <c r="AF285" s="80" t="str">
        <f t="shared" si="35"/>
        <v>SAZKA GROUP AS 3.875 15/02/2027</v>
      </c>
    </row>
    <row r="286" spans="2:32" outlineLevel="1">
      <c r="B286" s="175" t="str">
        <f>IF(OR('Inventaire M'!D64="Dispo/Liquidité Investie",'Inventaire M'!D64="Option/Future",'Inventaire M'!D64="TCN",'Inventaire M'!D64=""),"-",'Inventaire M'!A64)</f>
        <v>XS2393001891</v>
      </c>
      <c r="C286" s="175" t="str">
        <f>IF(OR('Inventaire M'!D64="Dispo/Liquidité Investie",'Inventaire M'!D64="Option/Future",'Inventaire M'!D64="TCN",'Inventaire M'!D64=""),"-",'Inventaire M'!B64)</f>
        <v>GRIFOLS ESCROW ISSUER SAU 3.875 15/10/2028</v>
      </c>
      <c r="D286" s="175"/>
      <c r="E286" s="175" t="e">
        <f>IF(B286="-","",INDEX('Inventaire M'!$A$2:$AW$9305,MATCH(B286,'Inventaire M'!$A:$A,0)-1,MATCH("Cours EUR",'Inventaire M'!#REF!,0)))</f>
        <v>#REF!</v>
      </c>
      <c r="F286" s="175" t="str">
        <f>IF(B286="-","",IF(ISERROR(INDEX('Inventaire M-1'!$A$2:$AZ$9320,MATCH(B286,'Inventaire M-1'!$A:$A,0)-1,MATCH("Cours EUR",'Inventaire M-1'!#REF!,0))),"Buy",INDEX('Inventaire M-1'!$A$2:$AZ$9320,MATCH(B286,'Inventaire M-1'!$A:$A,0)-1,MATCH("Cours EUR",'Inventaire M-1'!#REF!,0))))</f>
        <v>Buy</v>
      </c>
      <c r="G286" s="175"/>
      <c r="H286" s="156" t="e">
        <f>IF(B286="-","",INDEX('Inventaire M'!$A$2:$AW$9305,MATCH(B286,'Inventaire M'!$A:$A,0)-1,MATCH("quantite",'Inventaire M'!#REF!,0)))</f>
        <v>#REF!</v>
      </c>
      <c r="I286" s="156" t="str">
        <f>IF(C286="-","",IF(ISERROR(INDEX('Inventaire M-1'!$A$2:$AZ$9320,MATCH(B286,'Inventaire M-1'!$A:$A,0)-1,MATCH("quantite",'Inventaire M-1'!#REF!,0))),"Buy",INDEX('Inventaire M-1'!$A$2:$AZ$9320,MATCH(B286,'Inventaire M-1'!$A:$A,0)-1,MATCH("quantite",'Inventaire M-1'!#REF!,0))))</f>
        <v>Buy</v>
      </c>
      <c r="J286" s="175"/>
      <c r="K286" s="155" t="e">
        <f>IF(B286="-","",INDEX('Inventaire M'!$A$2:$AW$9305,MATCH(B286,'Inventaire M'!$A:$A,0)-1,MATCH("poids",'Inventaire M'!#REF!,0)))</f>
        <v>#REF!</v>
      </c>
      <c r="L286" s="155" t="str">
        <f>IF(B286="-","",IF(ISERROR(INDEX('Inventaire M-1'!$A$2:$AZ$9320,MATCH(B286,'Inventaire M-1'!$A:$A,0)-1,MATCH("poids",'Inventaire M-1'!#REF!,0))),"Buy",INDEX('Inventaire M-1'!$A$2:$AZ$9320,MATCH(B286,'Inventaire M-1'!$A:$A,0)-1,MATCH("poids",'Inventaire M-1'!#REF!,0))))</f>
        <v>Buy</v>
      </c>
      <c r="M286" s="175"/>
      <c r="N286" s="157" t="str">
        <f t="shared" si="30"/>
        <v>0</v>
      </c>
      <c r="O286" s="98" t="str">
        <f t="shared" si="31"/>
        <v/>
      </c>
      <c r="P286" s="80" t="str">
        <f t="shared" si="32"/>
        <v>GRIFOLS ESCROW ISSUER SAU 3.875 15/10/2028</v>
      </c>
      <c r="Q286" s="75">
        <v>2.62E-8</v>
      </c>
      <c r="R286" s="175" t="str">
        <f>IF(OR('Inventaire M-1'!D39="Dispo/Liquidité Investie",'Inventaire M-1'!D39="Option/Future",'Inventaire M-1'!D39="TCN",'Inventaire M-1'!D39=""),"-",'Inventaire M-1'!A39)</f>
        <v>XS2123970241</v>
      </c>
      <c r="S286" s="175" t="str">
        <f>IF(OR('Inventaire M-1'!D39="Dispo/Liquidité Investie",'Inventaire M-1'!D39="Option/Future",'Inventaire M-1'!D39="TCN",'Inventaire M-1'!D39=""),"-",'Inventaire M-1'!B39)</f>
        <v>VF CORPORATION 0.625 25/02/2032</v>
      </c>
      <c r="T286" s="175"/>
      <c r="U286" s="175" t="e">
        <f>IF(R286="-","",INDEX('Inventaire M-1'!$A$2:$AG$9334,MATCH(R286,'Inventaire M-1'!$A:$A,0)-1,MATCH("Cours EUR",'Inventaire M-1'!#REF!,0)))</f>
        <v>#REF!</v>
      </c>
      <c r="V286" s="175" t="str">
        <f>IF(R286="-","",IF(ISERROR(INDEX('Inventaire M'!$A$2:$AD$9319,MATCH(R286,'Inventaire M'!$A:$A,0)-1,MATCH("Cours EUR",'Inventaire M'!#REF!,0))),"Sell",INDEX('Inventaire M'!$A$2:$AD$9319,MATCH(R286,'Inventaire M'!$A:$A,0)-1,MATCH("Cours EUR",'Inventaire M'!#REF!,0))))</f>
        <v>Sell</v>
      </c>
      <c r="W286" s="175"/>
      <c r="X286" s="156" t="e">
        <f>IF(R286="-","",INDEX('Inventaire M-1'!$A$2:$AG$9334,MATCH(R286,'Inventaire M-1'!$A:$A,0)-1,MATCH("quantite",'Inventaire M-1'!#REF!,0)))</f>
        <v>#REF!</v>
      </c>
      <c r="Y286" s="156" t="str">
        <f>IF(S286="-","",IF(ISERROR(INDEX('Inventaire M'!$A$2:$AD$9319,MATCH(R286,'Inventaire M'!$A:$A,0)-1,MATCH("quantite",'Inventaire M'!#REF!,0))),"Sell",INDEX('Inventaire M'!$A$2:$AD$9319,MATCH(R286,'Inventaire M'!$A:$A,0)-1,MATCH("quantite",'Inventaire M'!#REF!,0))))</f>
        <v>Sell</v>
      </c>
      <c r="Z286" s="175"/>
      <c r="AA286" s="155" t="e">
        <f>IF(R286="-","",INDEX('Inventaire M-1'!$A$2:$AG$9334,MATCH(R286,'Inventaire M-1'!$A:$A,0)-1,MATCH("poids",'Inventaire M-1'!#REF!,0)))</f>
        <v>#REF!</v>
      </c>
      <c r="AB286" s="155" t="str">
        <f>IF(R286="-","",IF(ISERROR(INDEX('Inventaire M'!$A$2:$AD$9319,MATCH(R286,'Inventaire M'!$A:$A,0)-1,MATCH("poids",'Inventaire M'!#REF!,0))),"Sell",INDEX('Inventaire M'!$A$2:$AD$9319,MATCH(R286,'Inventaire M'!$A:$A,0)-1,MATCH("poids",'Inventaire M'!#REF!,0))))</f>
        <v>Sell</v>
      </c>
      <c r="AC286" s="175"/>
      <c r="AD286" s="157" t="str">
        <f t="shared" si="33"/>
        <v>0</v>
      </c>
      <c r="AE286" s="98" t="str">
        <f t="shared" si="34"/>
        <v/>
      </c>
      <c r="AF286" s="80" t="str">
        <f t="shared" si="35"/>
        <v>VF CORPORATION 0.625 25/02/2032</v>
      </c>
    </row>
    <row r="287" spans="2:32" outlineLevel="1">
      <c r="B287" s="175" t="str">
        <f>IF(OR('Inventaire M'!D65="Dispo/Liquidité Investie",'Inventaire M'!D65="Option/Future",'Inventaire M'!D65="TCN",'Inventaire M'!D65=""),"-",'Inventaire M'!A65)</f>
        <v>XS2397198487</v>
      </c>
      <c r="C287" s="175" t="str">
        <f>IF(OR('Inventaire M'!D65="Dispo/Liquidité Investie",'Inventaire M'!D65="Option/Future",'Inventaire M'!D65="TCN",'Inventaire M'!D65=""),"-",'Inventaire M'!B65)</f>
        <v>KAIXO BONDCO TELECOM SAU 5.125 30/09/2029</v>
      </c>
      <c r="D287" s="175"/>
      <c r="E287" s="175" t="e">
        <f>IF(B287="-","",INDEX('Inventaire M'!$A$2:$AW$9305,MATCH(B287,'Inventaire M'!$A:$A,0)-1,MATCH("Cours EUR",'Inventaire M'!#REF!,0)))</f>
        <v>#REF!</v>
      </c>
      <c r="F287" s="175" t="str">
        <f>IF(B287="-","",IF(ISERROR(INDEX('Inventaire M-1'!$A$2:$AZ$9320,MATCH(B287,'Inventaire M-1'!$A:$A,0)-1,MATCH("Cours EUR",'Inventaire M-1'!#REF!,0))),"Buy",INDEX('Inventaire M-1'!$A$2:$AZ$9320,MATCH(B287,'Inventaire M-1'!$A:$A,0)-1,MATCH("Cours EUR",'Inventaire M-1'!#REF!,0))))</f>
        <v>Buy</v>
      </c>
      <c r="G287" s="175"/>
      <c r="H287" s="156" t="e">
        <f>IF(B287="-","",INDEX('Inventaire M'!$A$2:$AW$9305,MATCH(B287,'Inventaire M'!$A:$A,0)-1,MATCH("quantite",'Inventaire M'!#REF!,0)))</f>
        <v>#REF!</v>
      </c>
      <c r="I287" s="156" t="str">
        <f>IF(C287="-","",IF(ISERROR(INDEX('Inventaire M-1'!$A$2:$AZ$9320,MATCH(B287,'Inventaire M-1'!$A:$A,0)-1,MATCH("quantite",'Inventaire M-1'!#REF!,0))),"Buy",INDEX('Inventaire M-1'!$A$2:$AZ$9320,MATCH(B287,'Inventaire M-1'!$A:$A,0)-1,MATCH("quantite",'Inventaire M-1'!#REF!,0))))</f>
        <v>Buy</v>
      </c>
      <c r="J287" s="175"/>
      <c r="K287" s="155" t="e">
        <f>IF(B287="-","",INDEX('Inventaire M'!$A$2:$AW$9305,MATCH(B287,'Inventaire M'!$A:$A,0)-1,MATCH("poids",'Inventaire M'!#REF!,0)))</f>
        <v>#REF!</v>
      </c>
      <c r="L287" s="155" t="str">
        <f>IF(B287="-","",IF(ISERROR(INDEX('Inventaire M-1'!$A$2:$AZ$9320,MATCH(B287,'Inventaire M-1'!$A:$A,0)-1,MATCH("poids",'Inventaire M-1'!#REF!,0))),"Buy",INDEX('Inventaire M-1'!$A$2:$AZ$9320,MATCH(B287,'Inventaire M-1'!$A:$A,0)-1,MATCH("poids",'Inventaire M-1'!#REF!,0))))</f>
        <v>Buy</v>
      </c>
      <c r="M287" s="175"/>
      <c r="N287" s="157" t="str">
        <f t="shared" si="30"/>
        <v>0</v>
      </c>
      <c r="O287" s="98" t="str">
        <f t="shared" si="31"/>
        <v/>
      </c>
      <c r="P287" s="80" t="str">
        <f t="shared" si="32"/>
        <v>KAIXO BONDCO TELECOM SAU 5.125 30/09/2029</v>
      </c>
      <c r="Q287" s="75">
        <v>2.6300000000000001E-8</v>
      </c>
      <c r="R287" s="175" t="str">
        <f>IF(OR('Inventaire M-1'!D40="Dispo/Liquidité Investie",'Inventaire M-1'!D40="Option/Future",'Inventaire M-1'!D40="TCN",'Inventaire M-1'!D40=""),"-",'Inventaire M-1'!A40)</f>
        <v>XS2181577268</v>
      </c>
      <c r="S287" s="175" t="str">
        <f>IF(OR('Inventaire M-1'!D40="Dispo/Liquidité Investie",'Inventaire M-1'!D40="Option/Future",'Inventaire M-1'!D40="TCN",'Inventaire M-1'!D40=""),"-",'Inventaire M-1'!B40)</f>
        <v>SILGAN HOLDINGS INC 2.25 01/06/2028</v>
      </c>
      <c r="T287" s="175"/>
      <c r="U287" s="175" t="e">
        <f>IF(R287="-","",INDEX('Inventaire M-1'!$A$2:$AG$9334,MATCH(R287,'Inventaire M-1'!$A:$A,0)-1,MATCH("Cours EUR",'Inventaire M-1'!#REF!,0)))</f>
        <v>#REF!</v>
      </c>
      <c r="V287" s="175" t="str">
        <f>IF(R287="-","",IF(ISERROR(INDEX('Inventaire M'!$A$2:$AD$9319,MATCH(R287,'Inventaire M'!$A:$A,0)-1,MATCH("Cours EUR",'Inventaire M'!#REF!,0))),"Sell",INDEX('Inventaire M'!$A$2:$AD$9319,MATCH(R287,'Inventaire M'!$A:$A,0)-1,MATCH("Cours EUR",'Inventaire M'!#REF!,0))))</f>
        <v>Sell</v>
      </c>
      <c r="W287" s="175"/>
      <c r="X287" s="156" t="e">
        <f>IF(R287="-","",INDEX('Inventaire M-1'!$A$2:$AG$9334,MATCH(R287,'Inventaire M-1'!$A:$A,0)-1,MATCH("quantite",'Inventaire M-1'!#REF!,0)))</f>
        <v>#REF!</v>
      </c>
      <c r="Y287" s="156" t="str">
        <f>IF(S287="-","",IF(ISERROR(INDEX('Inventaire M'!$A$2:$AD$9319,MATCH(R287,'Inventaire M'!$A:$A,0)-1,MATCH("quantite",'Inventaire M'!#REF!,0))),"Sell",INDEX('Inventaire M'!$A$2:$AD$9319,MATCH(R287,'Inventaire M'!$A:$A,0)-1,MATCH("quantite",'Inventaire M'!#REF!,0))))</f>
        <v>Sell</v>
      </c>
      <c r="Z287" s="175"/>
      <c r="AA287" s="155" t="e">
        <f>IF(R287="-","",INDEX('Inventaire M-1'!$A$2:$AG$9334,MATCH(R287,'Inventaire M-1'!$A:$A,0)-1,MATCH("poids",'Inventaire M-1'!#REF!,0)))</f>
        <v>#REF!</v>
      </c>
      <c r="AB287" s="155" t="str">
        <f>IF(R287="-","",IF(ISERROR(INDEX('Inventaire M'!$A$2:$AD$9319,MATCH(R287,'Inventaire M'!$A:$A,0)-1,MATCH("poids",'Inventaire M'!#REF!,0))),"Sell",INDEX('Inventaire M'!$A$2:$AD$9319,MATCH(R287,'Inventaire M'!$A:$A,0)-1,MATCH("poids",'Inventaire M'!#REF!,0))))</f>
        <v>Sell</v>
      </c>
      <c r="AC287" s="175"/>
      <c r="AD287" s="157" t="str">
        <f t="shared" si="33"/>
        <v>0</v>
      </c>
      <c r="AE287" s="98" t="str">
        <f t="shared" si="34"/>
        <v/>
      </c>
      <c r="AF287" s="80" t="str">
        <f t="shared" si="35"/>
        <v>SILGAN HOLDINGS INC 2.25 01/06/2028</v>
      </c>
    </row>
    <row r="288" spans="2:32" outlineLevel="1">
      <c r="B288" s="175" t="str">
        <f>IF(OR('Inventaire M'!D66="Dispo/Liquidité Investie",'Inventaire M'!D66="Option/Future",'Inventaire M'!D66="TCN",'Inventaire M'!D66=""),"-",'Inventaire M'!A66)</f>
        <v>XS2406607171</v>
      </c>
      <c r="C288" s="175" t="str">
        <f>IF(OR('Inventaire M'!D66="Dispo/Liquidité Investie",'Inventaire M'!D66="Option/Future",'Inventaire M'!D66="TCN",'Inventaire M'!D66=""),"-",'Inventaire M'!B66)</f>
        <v>TEVA PHARMACEUTICAL FINANCE NETHER 4.375 09/05/2030</v>
      </c>
      <c r="D288" s="175"/>
      <c r="E288" s="175" t="e">
        <f>IF(B288="-","",INDEX('Inventaire M'!$A$2:$AW$9305,MATCH(B288,'Inventaire M'!$A:$A,0)-1,MATCH("Cours EUR",'Inventaire M'!#REF!,0)))</f>
        <v>#REF!</v>
      </c>
      <c r="F288" s="175" t="str">
        <f>IF(B288="-","",IF(ISERROR(INDEX('Inventaire M-1'!$A$2:$AZ$9320,MATCH(B288,'Inventaire M-1'!$A:$A,0)-1,MATCH("Cours EUR",'Inventaire M-1'!#REF!,0))),"Buy",INDEX('Inventaire M-1'!$A$2:$AZ$9320,MATCH(B288,'Inventaire M-1'!$A:$A,0)-1,MATCH("Cours EUR",'Inventaire M-1'!#REF!,0))))</f>
        <v>Buy</v>
      </c>
      <c r="G288" s="175"/>
      <c r="H288" s="156" t="e">
        <f>IF(B288="-","",INDEX('Inventaire M'!$A$2:$AW$9305,MATCH(B288,'Inventaire M'!$A:$A,0)-1,MATCH("quantite",'Inventaire M'!#REF!,0)))</f>
        <v>#REF!</v>
      </c>
      <c r="I288" s="156" t="str">
        <f>IF(C288="-","",IF(ISERROR(INDEX('Inventaire M-1'!$A$2:$AZ$9320,MATCH(B288,'Inventaire M-1'!$A:$A,0)-1,MATCH("quantite",'Inventaire M-1'!#REF!,0))),"Buy",INDEX('Inventaire M-1'!$A$2:$AZ$9320,MATCH(B288,'Inventaire M-1'!$A:$A,0)-1,MATCH("quantite",'Inventaire M-1'!#REF!,0))))</f>
        <v>Buy</v>
      </c>
      <c r="J288" s="175"/>
      <c r="K288" s="155" t="e">
        <f>IF(B288="-","",INDEX('Inventaire M'!$A$2:$AW$9305,MATCH(B288,'Inventaire M'!$A:$A,0)-1,MATCH("poids",'Inventaire M'!#REF!,0)))</f>
        <v>#REF!</v>
      </c>
      <c r="L288" s="155" t="str">
        <f>IF(B288="-","",IF(ISERROR(INDEX('Inventaire M-1'!$A$2:$AZ$9320,MATCH(B288,'Inventaire M-1'!$A:$A,0)-1,MATCH("poids",'Inventaire M-1'!#REF!,0))),"Buy",INDEX('Inventaire M-1'!$A$2:$AZ$9320,MATCH(B288,'Inventaire M-1'!$A:$A,0)-1,MATCH("poids",'Inventaire M-1'!#REF!,0))))</f>
        <v>Buy</v>
      </c>
      <c r="M288" s="175"/>
      <c r="N288" s="157" t="str">
        <f t="shared" si="30"/>
        <v>0</v>
      </c>
      <c r="O288" s="98" t="str">
        <f t="shared" si="31"/>
        <v/>
      </c>
      <c r="P288" s="80" t="str">
        <f t="shared" si="32"/>
        <v>TEVA PHARMACEUTICAL FINANCE NETHER 4.375 09/05/2030</v>
      </c>
      <c r="Q288" s="75">
        <v>2.6400000000000001E-8</v>
      </c>
      <c r="R288" s="175" t="str">
        <f>IF(OR('Inventaire M-1'!D41="Dispo/Liquidité Investie",'Inventaire M-1'!D41="Option/Future",'Inventaire M-1'!D41="TCN",'Inventaire M-1'!D41=""),"-",'Inventaire M-1'!A41)</f>
        <v>XS2182055009</v>
      </c>
      <c r="S288" s="175" t="str">
        <f>IF(OR('Inventaire M-1'!D41="Dispo/Liquidité Investie",'Inventaire M-1'!D41="Option/Future",'Inventaire M-1'!D41="TCN",'Inventaire M-1'!D41=""),"-",'Inventaire M-1'!B41)</f>
        <v>ELM BV PERP</v>
      </c>
      <c r="T288" s="175"/>
      <c r="U288" s="175" t="e">
        <f>IF(R288="-","",INDEX('Inventaire M-1'!$A$2:$AG$9334,MATCH(R288,'Inventaire M-1'!$A:$A,0)-1,MATCH("Cours EUR",'Inventaire M-1'!#REF!,0)))</f>
        <v>#REF!</v>
      </c>
      <c r="V288" s="175" t="str">
        <f>IF(R288="-","",IF(ISERROR(INDEX('Inventaire M'!$A$2:$AD$9319,MATCH(R288,'Inventaire M'!$A:$A,0)-1,MATCH("Cours EUR",'Inventaire M'!#REF!,0))),"Sell",INDEX('Inventaire M'!$A$2:$AD$9319,MATCH(R288,'Inventaire M'!$A:$A,0)-1,MATCH("Cours EUR",'Inventaire M'!#REF!,0))))</f>
        <v>Sell</v>
      </c>
      <c r="W288" s="175"/>
      <c r="X288" s="156" t="e">
        <f>IF(R288="-","",INDEX('Inventaire M-1'!$A$2:$AG$9334,MATCH(R288,'Inventaire M-1'!$A:$A,0)-1,MATCH("quantite",'Inventaire M-1'!#REF!,0)))</f>
        <v>#REF!</v>
      </c>
      <c r="Y288" s="156" t="str">
        <f>IF(S288="-","",IF(ISERROR(INDEX('Inventaire M'!$A$2:$AD$9319,MATCH(R288,'Inventaire M'!$A:$A,0)-1,MATCH("quantite",'Inventaire M'!#REF!,0))),"Sell",INDEX('Inventaire M'!$A$2:$AD$9319,MATCH(R288,'Inventaire M'!$A:$A,0)-1,MATCH("quantite",'Inventaire M'!#REF!,0))))</f>
        <v>Sell</v>
      </c>
      <c r="Z288" s="175"/>
      <c r="AA288" s="155" t="e">
        <f>IF(R288="-","",INDEX('Inventaire M-1'!$A$2:$AG$9334,MATCH(R288,'Inventaire M-1'!$A:$A,0)-1,MATCH("poids",'Inventaire M-1'!#REF!,0)))</f>
        <v>#REF!</v>
      </c>
      <c r="AB288" s="155" t="str">
        <f>IF(R288="-","",IF(ISERROR(INDEX('Inventaire M'!$A$2:$AD$9319,MATCH(R288,'Inventaire M'!$A:$A,0)-1,MATCH("poids",'Inventaire M'!#REF!,0))),"Sell",INDEX('Inventaire M'!$A$2:$AD$9319,MATCH(R288,'Inventaire M'!$A:$A,0)-1,MATCH("poids",'Inventaire M'!#REF!,0))))</f>
        <v>Sell</v>
      </c>
      <c r="AC288" s="175"/>
      <c r="AD288" s="157" t="str">
        <f t="shared" si="33"/>
        <v>0</v>
      </c>
      <c r="AE288" s="98" t="str">
        <f t="shared" si="34"/>
        <v/>
      </c>
      <c r="AF288" s="80" t="str">
        <f t="shared" si="35"/>
        <v>ELM BV PERP</v>
      </c>
    </row>
    <row r="289" spans="2:32" outlineLevel="1">
      <c r="B289" s="175" t="str">
        <f>IF(OR('Inventaire M'!D67="Dispo/Liquidité Investie",'Inventaire M'!D67="Option/Future",'Inventaire M'!D67="TCN",'Inventaire M'!D67=""),"-",'Inventaire M'!A67)</f>
        <v>XS2406737036</v>
      </c>
      <c r="C289" s="175" t="str">
        <f>IF(OR('Inventaire M'!D67="Dispo/Liquidité Investie",'Inventaire M'!D67="Option/Future",'Inventaire M'!D67="TCN",'Inventaire M'!D67=""),"-",'Inventaire M'!B67)</f>
        <v>NATURGY FINANCE BV PERP</v>
      </c>
      <c r="D289" s="175"/>
      <c r="E289" s="175" t="e">
        <f>IF(B289="-","",INDEX('Inventaire M'!$A$2:$AW$9305,MATCH(B289,'Inventaire M'!$A:$A,0)-1,MATCH("Cours EUR",'Inventaire M'!#REF!,0)))</f>
        <v>#REF!</v>
      </c>
      <c r="F289" s="175" t="str">
        <f>IF(B289="-","",IF(ISERROR(INDEX('Inventaire M-1'!$A$2:$AZ$9320,MATCH(B289,'Inventaire M-1'!$A:$A,0)-1,MATCH("Cours EUR",'Inventaire M-1'!#REF!,0))),"Buy",INDEX('Inventaire M-1'!$A$2:$AZ$9320,MATCH(B289,'Inventaire M-1'!$A:$A,0)-1,MATCH("Cours EUR",'Inventaire M-1'!#REF!,0))))</f>
        <v>Buy</v>
      </c>
      <c r="G289" s="175"/>
      <c r="H289" s="156" t="e">
        <f>IF(B289="-","",INDEX('Inventaire M'!$A$2:$AW$9305,MATCH(B289,'Inventaire M'!$A:$A,0)-1,MATCH("quantite",'Inventaire M'!#REF!,0)))</f>
        <v>#REF!</v>
      </c>
      <c r="I289" s="156" t="str">
        <f>IF(C289="-","",IF(ISERROR(INDEX('Inventaire M-1'!$A$2:$AZ$9320,MATCH(B289,'Inventaire M-1'!$A:$A,0)-1,MATCH("quantite",'Inventaire M-1'!#REF!,0))),"Buy",INDEX('Inventaire M-1'!$A$2:$AZ$9320,MATCH(B289,'Inventaire M-1'!$A:$A,0)-1,MATCH("quantite",'Inventaire M-1'!#REF!,0))))</f>
        <v>Buy</v>
      </c>
      <c r="J289" s="175"/>
      <c r="K289" s="155" t="e">
        <f>IF(B289="-","",INDEX('Inventaire M'!$A$2:$AW$9305,MATCH(B289,'Inventaire M'!$A:$A,0)-1,MATCH("poids",'Inventaire M'!#REF!,0)))</f>
        <v>#REF!</v>
      </c>
      <c r="L289" s="155" t="str">
        <f>IF(B289="-","",IF(ISERROR(INDEX('Inventaire M-1'!$A$2:$AZ$9320,MATCH(B289,'Inventaire M-1'!$A:$A,0)-1,MATCH("poids",'Inventaire M-1'!#REF!,0))),"Buy",INDEX('Inventaire M-1'!$A$2:$AZ$9320,MATCH(B289,'Inventaire M-1'!$A:$A,0)-1,MATCH("poids",'Inventaire M-1'!#REF!,0))))</f>
        <v>Buy</v>
      </c>
      <c r="M289" s="175"/>
      <c r="N289" s="157" t="str">
        <f t="shared" si="30"/>
        <v>0</v>
      </c>
      <c r="O289" s="98" t="str">
        <f t="shared" si="31"/>
        <v/>
      </c>
      <c r="P289" s="80" t="str">
        <f t="shared" si="32"/>
        <v>NATURGY FINANCE BV PERP</v>
      </c>
      <c r="Q289" s="75">
        <v>2.6499999999999999E-8</v>
      </c>
      <c r="R289" s="175" t="str">
        <f>IF(OR('Inventaire M-1'!D42="Dispo/Liquidité Investie",'Inventaire M-1'!D42="Option/Future",'Inventaire M-1'!D42="TCN",'Inventaire M-1'!D42=""),"-",'Inventaire M-1'!A42)</f>
        <v>XS2205083749</v>
      </c>
      <c r="S289" s="175" t="str">
        <f>IF(OR('Inventaire M-1'!D42="Dispo/Liquidité Investie",'Inventaire M-1'!D42="Option/Future",'Inventaire M-1'!D42="TCN",'Inventaire M-1'!D42=""),"-",'Inventaire M-1'!B42)</f>
        <v>AVANTOR FUNDING INC 3.875 15/07/2028</v>
      </c>
      <c r="T289" s="175"/>
      <c r="U289" s="175" t="e">
        <f>IF(R289="-","",INDEX('Inventaire M-1'!$A$2:$AG$9334,MATCH(R289,'Inventaire M-1'!$A:$A,0)-1,MATCH("Cours EUR",'Inventaire M-1'!#REF!,0)))</f>
        <v>#REF!</v>
      </c>
      <c r="V289" s="175" t="str">
        <f>IF(R289="-","",IF(ISERROR(INDEX('Inventaire M'!$A$2:$AD$9319,MATCH(R289,'Inventaire M'!$A:$A,0)-1,MATCH("Cours EUR",'Inventaire M'!#REF!,0))),"Sell",INDEX('Inventaire M'!$A$2:$AD$9319,MATCH(R289,'Inventaire M'!$A:$A,0)-1,MATCH("Cours EUR",'Inventaire M'!#REF!,0))))</f>
        <v>Sell</v>
      </c>
      <c r="W289" s="175"/>
      <c r="X289" s="156" t="e">
        <f>IF(R289="-","",INDEX('Inventaire M-1'!$A$2:$AG$9334,MATCH(R289,'Inventaire M-1'!$A:$A,0)-1,MATCH("quantite",'Inventaire M-1'!#REF!,0)))</f>
        <v>#REF!</v>
      </c>
      <c r="Y289" s="156" t="str">
        <f>IF(S289="-","",IF(ISERROR(INDEX('Inventaire M'!$A$2:$AD$9319,MATCH(R289,'Inventaire M'!$A:$A,0)-1,MATCH("quantite",'Inventaire M'!#REF!,0))),"Sell",INDEX('Inventaire M'!$A$2:$AD$9319,MATCH(R289,'Inventaire M'!$A:$A,0)-1,MATCH("quantite",'Inventaire M'!#REF!,0))))</f>
        <v>Sell</v>
      </c>
      <c r="Z289" s="175"/>
      <c r="AA289" s="155" t="e">
        <f>IF(R289="-","",INDEX('Inventaire M-1'!$A$2:$AG$9334,MATCH(R289,'Inventaire M-1'!$A:$A,0)-1,MATCH("poids",'Inventaire M-1'!#REF!,0)))</f>
        <v>#REF!</v>
      </c>
      <c r="AB289" s="155" t="str">
        <f>IF(R289="-","",IF(ISERROR(INDEX('Inventaire M'!$A$2:$AD$9319,MATCH(R289,'Inventaire M'!$A:$A,0)-1,MATCH("poids",'Inventaire M'!#REF!,0))),"Sell",INDEX('Inventaire M'!$A$2:$AD$9319,MATCH(R289,'Inventaire M'!$A:$A,0)-1,MATCH("poids",'Inventaire M'!#REF!,0))))</f>
        <v>Sell</v>
      </c>
      <c r="AC289" s="175"/>
      <c r="AD289" s="157" t="str">
        <f t="shared" si="33"/>
        <v>0</v>
      </c>
      <c r="AE289" s="98" t="str">
        <f t="shared" si="34"/>
        <v/>
      </c>
      <c r="AF289" s="80" t="str">
        <f t="shared" si="35"/>
        <v>AVANTOR FUNDING INC 3.875 15/07/2028</v>
      </c>
    </row>
    <row r="290" spans="2:32" outlineLevel="1">
      <c r="B290" s="175" t="str">
        <f>IF(OR('Inventaire M'!D68="Dispo/Liquidité Investie",'Inventaire M'!D68="Option/Future",'Inventaire M'!D68="TCN",'Inventaire M'!D68=""),"-",'Inventaire M'!A68)</f>
        <v>XS2410367747</v>
      </c>
      <c r="C290" s="175" t="str">
        <f>IF(OR('Inventaire M'!D68="Dispo/Liquidité Investie",'Inventaire M'!D68="Option/Future",'Inventaire M'!D68="TCN",'Inventaire M'!D68=""),"-",'Inventaire M'!B68)</f>
        <v>TELEFONICA EUROPE BV PERP</v>
      </c>
      <c r="D290" s="175"/>
      <c r="E290" s="175" t="e">
        <f>IF(B290="-","",INDEX('Inventaire M'!$A$2:$AW$9305,MATCH(B290,'Inventaire M'!$A:$A,0)-1,MATCH("Cours EUR",'Inventaire M'!#REF!,0)))</f>
        <v>#REF!</v>
      </c>
      <c r="F290" s="175" t="str">
        <f>IF(B290="-","",IF(ISERROR(INDEX('Inventaire M-1'!$A$2:$AZ$9320,MATCH(B290,'Inventaire M-1'!$A:$A,0)-1,MATCH("Cours EUR",'Inventaire M-1'!#REF!,0))),"Buy",INDEX('Inventaire M-1'!$A$2:$AZ$9320,MATCH(B290,'Inventaire M-1'!$A:$A,0)-1,MATCH("Cours EUR",'Inventaire M-1'!#REF!,0))))</f>
        <v>Buy</v>
      </c>
      <c r="G290" s="175"/>
      <c r="H290" s="156" t="e">
        <f>IF(B290="-","",INDEX('Inventaire M'!$A$2:$AW$9305,MATCH(B290,'Inventaire M'!$A:$A,0)-1,MATCH("quantite",'Inventaire M'!#REF!,0)))</f>
        <v>#REF!</v>
      </c>
      <c r="I290" s="156" t="str">
        <f>IF(C290="-","",IF(ISERROR(INDEX('Inventaire M-1'!$A$2:$AZ$9320,MATCH(B290,'Inventaire M-1'!$A:$A,0)-1,MATCH("quantite",'Inventaire M-1'!#REF!,0))),"Buy",INDEX('Inventaire M-1'!$A$2:$AZ$9320,MATCH(B290,'Inventaire M-1'!$A:$A,0)-1,MATCH("quantite",'Inventaire M-1'!#REF!,0))))</f>
        <v>Buy</v>
      </c>
      <c r="J290" s="175"/>
      <c r="K290" s="155" t="e">
        <f>IF(B290="-","",INDEX('Inventaire M'!$A$2:$AW$9305,MATCH(B290,'Inventaire M'!$A:$A,0)-1,MATCH("poids",'Inventaire M'!#REF!,0)))</f>
        <v>#REF!</v>
      </c>
      <c r="L290" s="155" t="str">
        <f>IF(B290="-","",IF(ISERROR(INDEX('Inventaire M-1'!$A$2:$AZ$9320,MATCH(B290,'Inventaire M-1'!$A:$A,0)-1,MATCH("poids",'Inventaire M-1'!#REF!,0))),"Buy",INDEX('Inventaire M-1'!$A$2:$AZ$9320,MATCH(B290,'Inventaire M-1'!$A:$A,0)-1,MATCH("poids",'Inventaire M-1'!#REF!,0))))</f>
        <v>Buy</v>
      </c>
      <c r="M290" s="175"/>
      <c r="N290" s="157" t="str">
        <f t="shared" si="30"/>
        <v>0</v>
      </c>
      <c r="O290" s="98" t="str">
        <f t="shared" si="31"/>
        <v/>
      </c>
      <c r="P290" s="80" t="str">
        <f t="shared" si="32"/>
        <v>TELEFONICA EUROPE BV PERP</v>
      </c>
      <c r="Q290" s="75">
        <v>2.66E-8</v>
      </c>
      <c r="R290" s="175" t="str">
        <f>IF(OR('Inventaire M-1'!D43="Dispo/Liquidité Investie",'Inventaire M-1'!D43="Option/Future",'Inventaire M-1'!D43="TCN",'Inventaire M-1'!D43=""),"-",'Inventaire M-1'!A43)</f>
        <v>XS2209344543</v>
      </c>
      <c r="S290" s="175" t="str">
        <f>IF(OR('Inventaire M-1'!D43="Dispo/Liquidité Investie",'Inventaire M-1'!D43="Option/Future",'Inventaire M-1'!D43="TCN",'Inventaire M-1'!D43=""),"-",'Inventaire M-1'!B43)</f>
        <v>FAURECIA SE 3.75 15/06/2028</v>
      </c>
      <c r="T290" s="175"/>
      <c r="U290" s="175" t="e">
        <f>IF(R290="-","",INDEX('Inventaire M-1'!$A$2:$AG$9334,MATCH(R290,'Inventaire M-1'!$A:$A,0)-1,MATCH("Cours EUR",'Inventaire M-1'!#REF!,0)))</f>
        <v>#REF!</v>
      </c>
      <c r="V290" s="175" t="str">
        <f>IF(R290="-","",IF(ISERROR(INDEX('Inventaire M'!$A$2:$AD$9319,MATCH(R290,'Inventaire M'!$A:$A,0)-1,MATCH("Cours EUR",'Inventaire M'!#REF!,0))),"Sell",INDEX('Inventaire M'!$A$2:$AD$9319,MATCH(R290,'Inventaire M'!$A:$A,0)-1,MATCH("Cours EUR",'Inventaire M'!#REF!,0))))</f>
        <v>Sell</v>
      </c>
      <c r="W290" s="175"/>
      <c r="X290" s="156" t="e">
        <f>IF(R290="-","",INDEX('Inventaire M-1'!$A$2:$AG$9334,MATCH(R290,'Inventaire M-1'!$A:$A,0)-1,MATCH("quantite",'Inventaire M-1'!#REF!,0)))</f>
        <v>#REF!</v>
      </c>
      <c r="Y290" s="156" t="str">
        <f>IF(S290="-","",IF(ISERROR(INDEX('Inventaire M'!$A$2:$AD$9319,MATCH(R290,'Inventaire M'!$A:$A,0)-1,MATCH("quantite",'Inventaire M'!#REF!,0))),"Sell",INDEX('Inventaire M'!$A$2:$AD$9319,MATCH(R290,'Inventaire M'!$A:$A,0)-1,MATCH("quantite",'Inventaire M'!#REF!,0))))</f>
        <v>Sell</v>
      </c>
      <c r="Z290" s="175"/>
      <c r="AA290" s="155" t="e">
        <f>IF(R290="-","",INDEX('Inventaire M-1'!$A$2:$AG$9334,MATCH(R290,'Inventaire M-1'!$A:$A,0)-1,MATCH("poids",'Inventaire M-1'!#REF!,0)))</f>
        <v>#REF!</v>
      </c>
      <c r="AB290" s="155" t="str">
        <f>IF(R290="-","",IF(ISERROR(INDEX('Inventaire M'!$A$2:$AD$9319,MATCH(R290,'Inventaire M'!$A:$A,0)-1,MATCH("poids",'Inventaire M'!#REF!,0))),"Sell",INDEX('Inventaire M'!$A$2:$AD$9319,MATCH(R290,'Inventaire M'!$A:$A,0)-1,MATCH("poids",'Inventaire M'!#REF!,0))))</f>
        <v>Sell</v>
      </c>
      <c r="AC290" s="175"/>
      <c r="AD290" s="157" t="str">
        <f t="shared" si="33"/>
        <v>0</v>
      </c>
      <c r="AE290" s="98" t="str">
        <f t="shared" si="34"/>
        <v/>
      </c>
      <c r="AF290" s="80" t="str">
        <f t="shared" si="35"/>
        <v>FAURECIA SE 3.75 15/06/2028</v>
      </c>
    </row>
    <row r="291" spans="2:32" outlineLevel="1">
      <c r="B291" s="175" t="str">
        <f>IF(OR('Inventaire M'!D69="Dispo/Liquidité Investie",'Inventaire M'!D69="Option/Future",'Inventaire M'!D69="TCN",'Inventaire M'!D69=""),"-",'Inventaire M'!A69)</f>
        <v>XS2417090789</v>
      </c>
      <c r="C291" s="175" t="str">
        <f>IF(OR('Inventaire M'!D69="Dispo/Liquidité Investie",'Inventaire M'!D69="Option/Future",'Inventaire M'!D69="TCN",'Inventaire M'!D69=""),"-",'Inventaire M'!B69)</f>
        <v>WP/AP TELECOM HOLDINGS IV BV 3.75 15/01/2029</v>
      </c>
      <c r="D291" s="175"/>
      <c r="E291" s="175" t="e">
        <f>IF(B291="-","",INDEX('Inventaire M'!$A$2:$AW$9305,MATCH(B291,'Inventaire M'!$A:$A,0)-1,MATCH("Cours EUR",'Inventaire M'!#REF!,0)))</f>
        <v>#REF!</v>
      </c>
      <c r="F291" s="175" t="str">
        <f>IF(B291="-","",IF(ISERROR(INDEX('Inventaire M-1'!$A$2:$AZ$9320,MATCH(B291,'Inventaire M-1'!$A:$A,0)-1,MATCH("Cours EUR",'Inventaire M-1'!#REF!,0))),"Buy",INDEX('Inventaire M-1'!$A$2:$AZ$9320,MATCH(B291,'Inventaire M-1'!$A:$A,0)-1,MATCH("Cours EUR",'Inventaire M-1'!#REF!,0))))</f>
        <v>Buy</v>
      </c>
      <c r="G291" s="175"/>
      <c r="H291" s="156" t="e">
        <f>IF(B291="-","",INDEX('Inventaire M'!$A$2:$AW$9305,MATCH(B291,'Inventaire M'!$A:$A,0)-1,MATCH("quantite",'Inventaire M'!#REF!,0)))</f>
        <v>#REF!</v>
      </c>
      <c r="I291" s="156" t="str">
        <f>IF(C291="-","",IF(ISERROR(INDEX('Inventaire M-1'!$A$2:$AZ$9320,MATCH(B291,'Inventaire M-1'!$A:$A,0)-1,MATCH("quantite",'Inventaire M-1'!#REF!,0))),"Buy",INDEX('Inventaire M-1'!$A$2:$AZ$9320,MATCH(B291,'Inventaire M-1'!$A:$A,0)-1,MATCH("quantite",'Inventaire M-1'!#REF!,0))))</f>
        <v>Buy</v>
      </c>
      <c r="J291" s="175"/>
      <c r="K291" s="155" t="e">
        <f>IF(B291="-","",INDEX('Inventaire M'!$A$2:$AW$9305,MATCH(B291,'Inventaire M'!$A:$A,0)-1,MATCH("poids",'Inventaire M'!#REF!,0)))</f>
        <v>#REF!</v>
      </c>
      <c r="L291" s="155" t="str">
        <f>IF(B291="-","",IF(ISERROR(INDEX('Inventaire M-1'!$A$2:$AZ$9320,MATCH(B291,'Inventaire M-1'!$A:$A,0)-1,MATCH("poids",'Inventaire M-1'!#REF!,0))),"Buy",INDEX('Inventaire M-1'!$A$2:$AZ$9320,MATCH(B291,'Inventaire M-1'!$A:$A,0)-1,MATCH("poids",'Inventaire M-1'!#REF!,0))))</f>
        <v>Buy</v>
      </c>
      <c r="M291" s="175"/>
      <c r="N291" s="157" t="str">
        <f t="shared" si="30"/>
        <v>0</v>
      </c>
      <c r="O291" s="98" t="str">
        <f t="shared" si="31"/>
        <v/>
      </c>
      <c r="P291" s="80" t="str">
        <f t="shared" si="32"/>
        <v>WP/AP TELECOM HOLDINGS IV BV 3.75 15/01/2029</v>
      </c>
      <c r="Q291" s="75">
        <v>2.6700000000000001E-8</v>
      </c>
      <c r="R291" s="175" t="str">
        <f>IF(OR('Inventaire M-1'!D44="Dispo/Liquidité Investie",'Inventaire M-1'!D44="Option/Future",'Inventaire M-1'!D44="TCN",'Inventaire M-1'!D44=""),"-",'Inventaire M-1'!A44)</f>
        <v>XS2225204010</v>
      </c>
      <c r="S291" s="175" t="str">
        <f>IF(OR('Inventaire M-1'!D44="Dispo/Liquidité Investie",'Inventaire M-1'!D44="Option/Future",'Inventaire M-1'!D44="TCN",'Inventaire M-1'!D44=""),"-",'Inventaire M-1'!B44)</f>
        <v>VODAFONE GROUP PLC 27/08/2080</v>
      </c>
      <c r="T291" s="175"/>
      <c r="U291" s="175" t="e">
        <f>IF(R291="-","",INDEX('Inventaire M-1'!$A$2:$AG$9334,MATCH(R291,'Inventaire M-1'!$A:$A,0)-1,MATCH("Cours EUR",'Inventaire M-1'!#REF!,0)))</f>
        <v>#REF!</v>
      </c>
      <c r="V291" s="175" t="str">
        <f>IF(R291="-","",IF(ISERROR(INDEX('Inventaire M'!$A$2:$AD$9319,MATCH(R291,'Inventaire M'!$A:$A,0)-1,MATCH("Cours EUR",'Inventaire M'!#REF!,0))),"Sell",INDEX('Inventaire M'!$A$2:$AD$9319,MATCH(R291,'Inventaire M'!$A:$A,0)-1,MATCH("Cours EUR",'Inventaire M'!#REF!,0))))</f>
        <v>Sell</v>
      </c>
      <c r="W291" s="175"/>
      <c r="X291" s="156" t="e">
        <f>IF(R291="-","",INDEX('Inventaire M-1'!$A$2:$AG$9334,MATCH(R291,'Inventaire M-1'!$A:$A,0)-1,MATCH("quantite",'Inventaire M-1'!#REF!,0)))</f>
        <v>#REF!</v>
      </c>
      <c r="Y291" s="156" t="str">
        <f>IF(S291="-","",IF(ISERROR(INDEX('Inventaire M'!$A$2:$AD$9319,MATCH(R291,'Inventaire M'!$A:$A,0)-1,MATCH("quantite",'Inventaire M'!#REF!,0))),"Sell",INDEX('Inventaire M'!$A$2:$AD$9319,MATCH(R291,'Inventaire M'!$A:$A,0)-1,MATCH("quantite",'Inventaire M'!#REF!,0))))</f>
        <v>Sell</v>
      </c>
      <c r="Z291" s="175"/>
      <c r="AA291" s="155" t="e">
        <f>IF(R291="-","",INDEX('Inventaire M-1'!$A$2:$AG$9334,MATCH(R291,'Inventaire M-1'!$A:$A,0)-1,MATCH("poids",'Inventaire M-1'!#REF!,0)))</f>
        <v>#REF!</v>
      </c>
      <c r="AB291" s="155" t="str">
        <f>IF(R291="-","",IF(ISERROR(INDEX('Inventaire M'!$A$2:$AD$9319,MATCH(R291,'Inventaire M'!$A:$A,0)-1,MATCH("poids",'Inventaire M'!#REF!,0))),"Sell",INDEX('Inventaire M'!$A$2:$AD$9319,MATCH(R291,'Inventaire M'!$A:$A,0)-1,MATCH("poids",'Inventaire M'!#REF!,0))))</f>
        <v>Sell</v>
      </c>
      <c r="AC291" s="175"/>
      <c r="AD291" s="157" t="str">
        <f t="shared" si="33"/>
        <v>0</v>
      </c>
      <c r="AE291" s="98" t="str">
        <f t="shared" si="34"/>
        <v/>
      </c>
      <c r="AF291" s="80" t="str">
        <f t="shared" si="35"/>
        <v>VODAFONE GROUP PLC 27/08/2080</v>
      </c>
    </row>
    <row r="292" spans="2:32" outlineLevel="1">
      <c r="B292" s="175" t="str">
        <f>IF(OR('Inventaire M'!D70="Dispo/Liquidité Investie",'Inventaire M'!D70="Option/Future",'Inventaire M'!D70="TCN",'Inventaire M'!D70=""),"-",'Inventaire M'!A70)</f>
        <v>XS2417092132</v>
      </c>
      <c r="C292" s="175" t="str">
        <f>IF(OR('Inventaire M'!D70="Dispo/Liquidité Investie",'Inventaire M'!D70="Option/Future",'Inventaire M'!D70="TCN",'Inventaire M'!D70=""),"-",'Inventaire M'!B70)</f>
        <v>WP/AP TELECOM HOLDINGS 5.5 15/01/2030</v>
      </c>
      <c r="D292" s="175"/>
      <c r="E292" s="175" t="e">
        <f>IF(B292="-","",INDEX('Inventaire M'!$A$2:$AW$9305,MATCH(B292,'Inventaire M'!$A:$A,0)-1,MATCH("Cours EUR",'Inventaire M'!#REF!,0)))</f>
        <v>#REF!</v>
      </c>
      <c r="F292" s="175" t="str">
        <f>IF(B292="-","",IF(ISERROR(INDEX('Inventaire M-1'!$A$2:$AZ$9320,MATCH(B292,'Inventaire M-1'!$A:$A,0)-1,MATCH("Cours EUR",'Inventaire M-1'!#REF!,0))),"Buy",INDEX('Inventaire M-1'!$A$2:$AZ$9320,MATCH(B292,'Inventaire M-1'!$A:$A,0)-1,MATCH("Cours EUR",'Inventaire M-1'!#REF!,0))))</f>
        <v>Buy</v>
      </c>
      <c r="G292" s="175"/>
      <c r="H292" s="156" t="e">
        <f>IF(B292="-","",INDEX('Inventaire M'!$A$2:$AW$9305,MATCH(B292,'Inventaire M'!$A:$A,0)-1,MATCH("quantite",'Inventaire M'!#REF!,0)))</f>
        <v>#REF!</v>
      </c>
      <c r="I292" s="156" t="str">
        <f>IF(C292="-","",IF(ISERROR(INDEX('Inventaire M-1'!$A$2:$AZ$9320,MATCH(B292,'Inventaire M-1'!$A:$A,0)-1,MATCH("quantite",'Inventaire M-1'!#REF!,0))),"Buy",INDEX('Inventaire M-1'!$A$2:$AZ$9320,MATCH(B292,'Inventaire M-1'!$A:$A,0)-1,MATCH("quantite",'Inventaire M-1'!#REF!,0))))</f>
        <v>Buy</v>
      </c>
      <c r="J292" s="175"/>
      <c r="K292" s="155" t="e">
        <f>IF(B292="-","",INDEX('Inventaire M'!$A$2:$AW$9305,MATCH(B292,'Inventaire M'!$A:$A,0)-1,MATCH("poids",'Inventaire M'!#REF!,0)))</f>
        <v>#REF!</v>
      </c>
      <c r="L292" s="155" t="str">
        <f>IF(B292="-","",IF(ISERROR(INDEX('Inventaire M-1'!$A$2:$AZ$9320,MATCH(B292,'Inventaire M-1'!$A:$A,0)-1,MATCH("poids",'Inventaire M-1'!#REF!,0))),"Buy",INDEX('Inventaire M-1'!$A$2:$AZ$9320,MATCH(B292,'Inventaire M-1'!$A:$A,0)-1,MATCH("poids",'Inventaire M-1'!#REF!,0))))</f>
        <v>Buy</v>
      </c>
      <c r="M292" s="175"/>
      <c r="N292" s="157" t="str">
        <f t="shared" si="30"/>
        <v>0</v>
      </c>
      <c r="O292" s="98" t="str">
        <f t="shared" si="31"/>
        <v/>
      </c>
      <c r="P292" s="80" t="str">
        <f t="shared" si="32"/>
        <v>WP/AP TELECOM HOLDINGS 5.5 15/01/2030</v>
      </c>
      <c r="Q292" s="75">
        <v>2.6799999999999998E-8</v>
      </c>
      <c r="R292" s="175" t="str">
        <f>IF(OR('Inventaire M-1'!D45="Dispo/Liquidité Investie",'Inventaire M-1'!D45="Option/Future",'Inventaire M-1'!D45="TCN",'Inventaire M-1'!D45=""),"-",'Inventaire M-1'!A45)</f>
        <v>XS2240463674</v>
      </c>
      <c r="S292" s="175" t="str">
        <f>IF(OR('Inventaire M-1'!D45="Dispo/Liquidité Investie",'Inventaire M-1'!D45="Option/Future",'Inventaire M-1'!D45="TCN",'Inventaire M-1'!D45=""),"-",'Inventaire M-1'!B45)</f>
        <v>LORCA TELECOM BONDCO 4 18/09/2027</v>
      </c>
      <c r="T292" s="175"/>
      <c r="U292" s="175" t="e">
        <f>IF(R292="-","",INDEX('Inventaire M-1'!$A$2:$AG$9334,MATCH(R292,'Inventaire M-1'!$A:$A,0)-1,MATCH("Cours EUR",'Inventaire M-1'!#REF!,0)))</f>
        <v>#REF!</v>
      </c>
      <c r="V292" s="175" t="str">
        <f>IF(R292="-","",IF(ISERROR(INDEX('Inventaire M'!$A$2:$AD$9319,MATCH(R292,'Inventaire M'!$A:$A,0)-1,MATCH("Cours EUR",'Inventaire M'!#REF!,0))),"Sell",INDEX('Inventaire M'!$A$2:$AD$9319,MATCH(R292,'Inventaire M'!$A:$A,0)-1,MATCH("Cours EUR",'Inventaire M'!#REF!,0))))</f>
        <v>Sell</v>
      </c>
      <c r="W292" s="175"/>
      <c r="X292" s="156" t="e">
        <f>IF(R292="-","",INDEX('Inventaire M-1'!$A$2:$AG$9334,MATCH(R292,'Inventaire M-1'!$A:$A,0)-1,MATCH("quantite",'Inventaire M-1'!#REF!,0)))</f>
        <v>#REF!</v>
      </c>
      <c r="Y292" s="156" t="str">
        <f>IF(S292="-","",IF(ISERROR(INDEX('Inventaire M'!$A$2:$AD$9319,MATCH(R292,'Inventaire M'!$A:$A,0)-1,MATCH("quantite",'Inventaire M'!#REF!,0))),"Sell",INDEX('Inventaire M'!$A$2:$AD$9319,MATCH(R292,'Inventaire M'!$A:$A,0)-1,MATCH("quantite",'Inventaire M'!#REF!,0))))</f>
        <v>Sell</v>
      </c>
      <c r="Z292" s="175"/>
      <c r="AA292" s="155" t="e">
        <f>IF(R292="-","",INDEX('Inventaire M-1'!$A$2:$AG$9334,MATCH(R292,'Inventaire M-1'!$A:$A,0)-1,MATCH("poids",'Inventaire M-1'!#REF!,0)))</f>
        <v>#REF!</v>
      </c>
      <c r="AB292" s="155" t="str">
        <f>IF(R292="-","",IF(ISERROR(INDEX('Inventaire M'!$A$2:$AD$9319,MATCH(R292,'Inventaire M'!$A:$A,0)-1,MATCH("poids",'Inventaire M'!#REF!,0))),"Sell",INDEX('Inventaire M'!$A$2:$AD$9319,MATCH(R292,'Inventaire M'!$A:$A,0)-1,MATCH("poids",'Inventaire M'!#REF!,0))))</f>
        <v>Sell</v>
      </c>
      <c r="AC292" s="175"/>
      <c r="AD292" s="157" t="str">
        <f t="shared" si="33"/>
        <v>0</v>
      </c>
      <c r="AE292" s="98" t="str">
        <f t="shared" si="34"/>
        <v/>
      </c>
      <c r="AF292" s="80" t="str">
        <f t="shared" si="35"/>
        <v>LORCA TELECOM BONDCO 4 18/09/2027</v>
      </c>
    </row>
    <row r="293" spans="2:32" outlineLevel="1">
      <c r="B293" s="175" t="str">
        <f>IF(OR('Inventaire M'!D71="Dispo/Liquidité Investie",'Inventaire M'!D71="Option/Future",'Inventaire M'!D71="TCN",'Inventaire M'!D71=""),"-",'Inventaire M'!A71)</f>
        <v>XS2431015655</v>
      </c>
      <c r="C293" s="175" t="str">
        <f>IF(OR('Inventaire M'!D71="Dispo/Liquidité Investie",'Inventaire M'!D71="Option/Future",'Inventaire M'!D71="TCN",'Inventaire M'!D71=""),"-",'Inventaire M'!B71)</f>
        <v>VZ SECURED FINANCING BV 3.5 15/01/2032</v>
      </c>
      <c r="D293" s="175"/>
      <c r="E293" s="175" t="e">
        <f>IF(B293="-","",INDEX('Inventaire M'!$A$2:$AW$9305,MATCH(B293,'Inventaire M'!$A:$A,0)-1,MATCH("Cours EUR",'Inventaire M'!#REF!,0)))</f>
        <v>#REF!</v>
      </c>
      <c r="F293" s="175" t="str">
        <f>IF(B293="-","",IF(ISERROR(INDEX('Inventaire M-1'!$A$2:$AZ$9320,MATCH(B293,'Inventaire M-1'!$A:$A,0)-1,MATCH("Cours EUR",'Inventaire M-1'!#REF!,0))),"Buy",INDEX('Inventaire M-1'!$A$2:$AZ$9320,MATCH(B293,'Inventaire M-1'!$A:$A,0)-1,MATCH("Cours EUR",'Inventaire M-1'!#REF!,0))))</f>
        <v>Buy</v>
      </c>
      <c r="G293" s="175"/>
      <c r="H293" s="156" t="e">
        <f>IF(B293="-","",INDEX('Inventaire M'!$A$2:$AW$9305,MATCH(B293,'Inventaire M'!$A:$A,0)-1,MATCH("quantite",'Inventaire M'!#REF!,0)))</f>
        <v>#REF!</v>
      </c>
      <c r="I293" s="156" t="str">
        <f>IF(C293="-","",IF(ISERROR(INDEX('Inventaire M-1'!$A$2:$AZ$9320,MATCH(B293,'Inventaire M-1'!$A:$A,0)-1,MATCH("quantite",'Inventaire M-1'!#REF!,0))),"Buy",INDEX('Inventaire M-1'!$A$2:$AZ$9320,MATCH(B293,'Inventaire M-1'!$A:$A,0)-1,MATCH("quantite",'Inventaire M-1'!#REF!,0))))</f>
        <v>Buy</v>
      </c>
      <c r="J293" s="175"/>
      <c r="K293" s="155" t="e">
        <f>IF(B293="-","",INDEX('Inventaire M'!$A$2:$AW$9305,MATCH(B293,'Inventaire M'!$A:$A,0)-1,MATCH("poids",'Inventaire M'!#REF!,0)))</f>
        <v>#REF!</v>
      </c>
      <c r="L293" s="155" t="str">
        <f>IF(B293="-","",IF(ISERROR(INDEX('Inventaire M-1'!$A$2:$AZ$9320,MATCH(B293,'Inventaire M-1'!$A:$A,0)-1,MATCH("poids",'Inventaire M-1'!#REF!,0))),"Buy",INDEX('Inventaire M-1'!$A$2:$AZ$9320,MATCH(B293,'Inventaire M-1'!$A:$A,0)-1,MATCH("poids",'Inventaire M-1'!#REF!,0))))</f>
        <v>Buy</v>
      </c>
      <c r="M293" s="175"/>
      <c r="N293" s="157" t="str">
        <f t="shared" si="30"/>
        <v>0</v>
      </c>
      <c r="O293" s="98" t="str">
        <f t="shared" si="31"/>
        <v/>
      </c>
      <c r="P293" s="80" t="str">
        <f t="shared" si="32"/>
        <v>VZ SECURED FINANCING BV 3.5 15/01/2032</v>
      </c>
      <c r="Q293" s="75">
        <v>2.6899999999999999E-8</v>
      </c>
      <c r="R293" s="175" t="str">
        <f>IF(OR('Inventaire M-1'!D46="Dispo/Liquidité Investie",'Inventaire M-1'!D46="Option/Future",'Inventaire M-1'!D46="TCN",'Inventaire M-1'!D46=""),"-",'Inventaire M-1'!A46)</f>
        <v>XS2247616514</v>
      </c>
      <c r="S293" s="175" t="str">
        <f>IF(OR('Inventaire M-1'!D46="Dispo/Liquidité Investie",'Inventaire M-1'!D46="Option/Future",'Inventaire M-1'!D46="TCN",'Inventaire M-1'!D46=""),"-",'Inventaire M-1'!B46)</f>
        <v>CANPACK SA 2.375 01/11/2027</v>
      </c>
      <c r="T293" s="175"/>
      <c r="U293" s="175" t="e">
        <f>IF(R293="-","",INDEX('Inventaire M-1'!$A$2:$AG$9334,MATCH(R293,'Inventaire M-1'!$A:$A,0)-1,MATCH("Cours EUR",'Inventaire M-1'!#REF!,0)))</f>
        <v>#REF!</v>
      </c>
      <c r="V293" s="175" t="str">
        <f>IF(R293="-","",IF(ISERROR(INDEX('Inventaire M'!$A$2:$AD$9319,MATCH(R293,'Inventaire M'!$A:$A,0)-1,MATCH("Cours EUR",'Inventaire M'!#REF!,0))),"Sell",INDEX('Inventaire M'!$A$2:$AD$9319,MATCH(R293,'Inventaire M'!$A:$A,0)-1,MATCH("Cours EUR",'Inventaire M'!#REF!,0))))</f>
        <v>Sell</v>
      </c>
      <c r="W293" s="175"/>
      <c r="X293" s="156" t="e">
        <f>IF(R293="-","",INDEX('Inventaire M-1'!$A$2:$AG$9334,MATCH(R293,'Inventaire M-1'!$A:$A,0)-1,MATCH("quantite",'Inventaire M-1'!#REF!,0)))</f>
        <v>#REF!</v>
      </c>
      <c r="Y293" s="156" t="str">
        <f>IF(S293="-","",IF(ISERROR(INDEX('Inventaire M'!$A$2:$AD$9319,MATCH(R293,'Inventaire M'!$A:$A,0)-1,MATCH("quantite",'Inventaire M'!#REF!,0))),"Sell",INDEX('Inventaire M'!$A$2:$AD$9319,MATCH(R293,'Inventaire M'!$A:$A,0)-1,MATCH("quantite",'Inventaire M'!#REF!,0))))</f>
        <v>Sell</v>
      </c>
      <c r="Z293" s="175"/>
      <c r="AA293" s="155" t="e">
        <f>IF(R293="-","",INDEX('Inventaire M-1'!$A$2:$AG$9334,MATCH(R293,'Inventaire M-1'!$A:$A,0)-1,MATCH("poids",'Inventaire M-1'!#REF!,0)))</f>
        <v>#REF!</v>
      </c>
      <c r="AB293" s="155" t="str">
        <f>IF(R293="-","",IF(ISERROR(INDEX('Inventaire M'!$A$2:$AD$9319,MATCH(R293,'Inventaire M'!$A:$A,0)-1,MATCH("poids",'Inventaire M'!#REF!,0))),"Sell",INDEX('Inventaire M'!$A$2:$AD$9319,MATCH(R293,'Inventaire M'!$A:$A,0)-1,MATCH("poids",'Inventaire M'!#REF!,0))))</f>
        <v>Sell</v>
      </c>
      <c r="AC293" s="175"/>
      <c r="AD293" s="157" t="str">
        <f t="shared" si="33"/>
        <v>0</v>
      </c>
      <c r="AE293" s="98" t="str">
        <f t="shared" si="34"/>
        <v/>
      </c>
      <c r="AF293" s="80" t="str">
        <f t="shared" si="35"/>
        <v>CANPACK SA 2.375 01/11/2027</v>
      </c>
    </row>
    <row r="294" spans="2:32" outlineLevel="1">
      <c r="B294" s="175" t="str">
        <f>IF(OR('Inventaire M'!D72="Dispo/Liquidité Investie",'Inventaire M'!D72="Option/Future",'Inventaire M'!D72="TCN",'Inventaire M'!D72=""),"-",'Inventaire M'!A72)</f>
        <v>XS2462605671</v>
      </c>
      <c r="C294" s="175" t="str">
        <f>IF(OR('Inventaire M'!D72="Dispo/Liquidité Investie",'Inventaire M'!D72="Option/Future",'Inventaire M'!D72="TCN",'Inventaire M'!D72=""),"-",'Inventaire M'!B72)</f>
        <v>TELEFONICA EUROPE BV PERP</v>
      </c>
      <c r="D294" s="175"/>
      <c r="E294" s="175" t="e">
        <f>IF(B294="-","",INDEX('Inventaire M'!$A$2:$AW$9305,MATCH(B294,'Inventaire M'!$A:$A,0)-1,MATCH("Cours EUR",'Inventaire M'!#REF!,0)))</f>
        <v>#REF!</v>
      </c>
      <c r="F294" s="175" t="str">
        <f>IF(B294="-","",IF(ISERROR(INDEX('Inventaire M-1'!$A$2:$AZ$9320,MATCH(B294,'Inventaire M-1'!$A:$A,0)-1,MATCH("Cours EUR",'Inventaire M-1'!#REF!,0))),"Buy",INDEX('Inventaire M-1'!$A$2:$AZ$9320,MATCH(B294,'Inventaire M-1'!$A:$A,0)-1,MATCH("Cours EUR",'Inventaire M-1'!#REF!,0))))</f>
        <v>Buy</v>
      </c>
      <c r="G294" s="175"/>
      <c r="H294" s="156" t="e">
        <f>IF(B294="-","",INDEX('Inventaire M'!$A$2:$AW$9305,MATCH(B294,'Inventaire M'!$A:$A,0)-1,MATCH("quantite",'Inventaire M'!#REF!,0)))</f>
        <v>#REF!</v>
      </c>
      <c r="I294" s="156" t="str">
        <f>IF(C294="-","",IF(ISERROR(INDEX('Inventaire M-1'!$A$2:$AZ$9320,MATCH(B294,'Inventaire M-1'!$A:$A,0)-1,MATCH("quantite",'Inventaire M-1'!#REF!,0))),"Buy",INDEX('Inventaire M-1'!$A$2:$AZ$9320,MATCH(B294,'Inventaire M-1'!$A:$A,0)-1,MATCH("quantite",'Inventaire M-1'!#REF!,0))))</f>
        <v>Buy</v>
      </c>
      <c r="J294" s="175"/>
      <c r="K294" s="155" t="e">
        <f>IF(B294="-","",INDEX('Inventaire M'!$A$2:$AW$9305,MATCH(B294,'Inventaire M'!$A:$A,0)-1,MATCH("poids",'Inventaire M'!#REF!,0)))</f>
        <v>#REF!</v>
      </c>
      <c r="L294" s="155" t="str">
        <f>IF(B294="-","",IF(ISERROR(INDEX('Inventaire M-1'!$A$2:$AZ$9320,MATCH(B294,'Inventaire M-1'!$A:$A,0)-1,MATCH("poids",'Inventaire M-1'!#REF!,0))),"Buy",INDEX('Inventaire M-1'!$A$2:$AZ$9320,MATCH(B294,'Inventaire M-1'!$A:$A,0)-1,MATCH("poids",'Inventaire M-1'!#REF!,0))))</f>
        <v>Buy</v>
      </c>
      <c r="M294" s="175"/>
      <c r="N294" s="157" t="str">
        <f t="shared" si="30"/>
        <v>0</v>
      </c>
      <c r="O294" s="98" t="str">
        <f t="shared" si="31"/>
        <v/>
      </c>
      <c r="P294" s="80" t="str">
        <f t="shared" si="32"/>
        <v>TELEFONICA EUROPE BV PERP</v>
      </c>
      <c r="Q294" s="75">
        <v>2.7E-8</v>
      </c>
      <c r="R294" s="175" t="str">
        <f>IF(OR('Inventaire M-1'!D47="Dispo/Liquidité Investie",'Inventaire M-1'!D47="Option/Future",'Inventaire M-1'!D47="TCN",'Inventaire M-1'!D47=""),"-",'Inventaire M-1'!A47)</f>
        <v>XS2271225281</v>
      </c>
      <c r="S294" s="175" t="str">
        <f>IF(OR('Inventaire M-1'!D47="Dispo/Liquidité Investie",'Inventaire M-1'!D47="Option/Future",'Inventaire M-1'!D47="TCN",'Inventaire M-1'!D47=""),"-",'Inventaire M-1'!B47)</f>
        <v>GRAND CITY PROPERTIES SA PERP</v>
      </c>
      <c r="T294" s="175"/>
      <c r="U294" s="175" t="e">
        <f>IF(R294="-","",INDEX('Inventaire M-1'!$A$2:$AG$9334,MATCH(R294,'Inventaire M-1'!$A:$A,0)-1,MATCH("Cours EUR",'Inventaire M-1'!#REF!,0)))</f>
        <v>#REF!</v>
      </c>
      <c r="V294" s="175" t="str">
        <f>IF(R294="-","",IF(ISERROR(INDEX('Inventaire M'!$A$2:$AD$9319,MATCH(R294,'Inventaire M'!$A:$A,0)-1,MATCH("Cours EUR",'Inventaire M'!#REF!,0))),"Sell",INDEX('Inventaire M'!$A$2:$AD$9319,MATCH(R294,'Inventaire M'!$A:$A,0)-1,MATCH("Cours EUR",'Inventaire M'!#REF!,0))))</f>
        <v>Sell</v>
      </c>
      <c r="W294" s="175"/>
      <c r="X294" s="156" t="e">
        <f>IF(R294="-","",INDEX('Inventaire M-1'!$A$2:$AG$9334,MATCH(R294,'Inventaire M-1'!$A:$A,0)-1,MATCH("quantite",'Inventaire M-1'!#REF!,0)))</f>
        <v>#REF!</v>
      </c>
      <c r="Y294" s="156" t="str">
        <f>IF(S294="-","",IF(ISERROR(INDEX('Inventaire M'!$A$2:$AD$9319,MATCH(R294,'Inventaire M'!$A:$A,0)-1,MATCH("quantite",'Inventaire M'!#REF!,0))),"Sell",INDEX('Inventaire M'!$A$2:$AD$9319,MATCH(R294,'Inventaire M'!$A:$A,0)-1,MATCH("quantite",'Inventaire M'!#REF!,0))))</f>
        <v>Sell</v>
      </c>
      <c r="Z294" s="175"/>
      <c r="AA294" s="155" t="e">
        <f>IF(R294="-","",INDEX('Inventaire M-1'!$A$2:$AG$9334,MATCH(R294,'Inventaire M-1'!$A:$A,0)-1,MATCH("poids",'Inventaire M-1'!#REF!,0)))</f>
        <v>#REF!</v>
      </c>
      <c r="AB294" s="155" t="str">
        <f>IF(R294="-","",IF(ISERROR(INDEX('Inventaire M'!$A$2:$AD$9319,MATCH(R294,'Inventaire M'!$A:$A,0)-1,MATCH("poids",'Inventaire M'!#REF!,0))),"Sell",INDEX('Inventaire M'!$A$2:$AD$9319,MATCH(R294,'Inventaire M'!$A:$A,0)-1,MATCH("poids",'Inventaire M'!#REF!,0))))</f>
        <v>Sell</v>
      </c>
      <c r="AC294" s="175"/>
      <c r="AD294" s="157" t="str">
        <f t="shared" si="33"/>
        <v>0</v>
      </c>
      <c r="AE294" s="98" t="str">
        <f t="shared" si="34"/>
        <v/>
      </c>
      <c r="AF294" s="80" t="str">
        <f t="shared" si="35"/>
        <v>GRAND CITY PROPERTIES SA PERP</v>
      </c>
    </row>
    <row r="295" spans="2:32" outlineLevel="1">
      <c r="B295" s="175" t="str">
        <f>IF(OR('Inventaire M'!D73="Dispo/Liquidité Investie",'Inventaire M'!D73="Option/Future",'Inventaire M'!D73="TCN",'Inventaire M'!D73=""),"-",'Inventaire M'!A73)</f>
        <v>XS2532478430</v>
      </c>
      <c r="C295" s="175" t="str">
        <f>IF(OR('Inventaire M'!D73="Dispo/Liquidité Investie",'Inventaire M'!D73="Option/Future",'Inventaire M'!D73="TCN",'Inventaire M'!D73=""),"-",'Inventaire M'!B73)</f>
        <v>TEREOS FINANCE GROUPE I SA 7.25 15/04/2028</v>
      </c>
      <c r="D295" s="175"/>
      <c r="E295" s="175" t="e">
        <f>IF(B295="-","",INDEX('Inventaire M'!$A$2:$AW$9305,MATCH(B295,'Inventaire M'!$A:$A,0)-1,MATCH("Cours EUR",'Inventaire M'!#REF!,0)))</f>
        <v>#REF!</v>
      </c>
      <c r="F295" s="175" t="str">
        <f>IF(B295="-","",IF(ISERROR(INDEX('Inventaire M-1'!$A$2:$AZ$9320,MATCH(B295,'Inventaire M-1'!$A:$A,0)-1,MATCH("Cours EUR",'Inventaire M-1'!#REF!,0))),"Buy",INDEX('Inventaire M-1'!$A$2:$AZ$9320,MATCH(B295,'Inventaire M-1'!$A:$A,0)-1,MATCH("Cours EUR",'Inventaire M-1'!#REF!,0))))</f>
        <v>Buy</v>
      </c>
      <c r="G295" s="175"/>
      <c r="H295" s="156" t="e">
        <f>IF(B295="-","",INDEX('Inventaire M'!$A$2:$AW$9305,MATCH(B295,'Inventaire M'!$A:$A,0)-1,MATCH("quantite",'Inventaire M'!#REF!,0)))</f>
        <v>#REF!</v>
      </c>
      <c r="I295" s="156" t="str">
        <f>IF(C295="-","",IF(ISERROR(INDEX('Inventaire M-1'!$A$2:$AZ$9320,MATCH(B295,'Inventaire M-1'!$A:$A,0)-1,MATCH("quantite",'Inventaire M-1'!#REF!,0))),"Buy",INDEX('Inventaire M-1'!$A$2:$AZ$9320,MATCH(B295,'Inventaire M-1'!$A:$A,0)-1,MATCH("quantite",'Inventaire M-1'!#REF!,0))))</f>
        <v>Buy</v>
      </c>
      <c r="J295" s="175"/>
      <c r="K295" s="155" t="e">
        <f>IF(B295="-","",INDEX('Inventaire M'!$A$2:$AW$9305,MATCH(B295,'Inventaire M'!$A:$A,0)-1,MATCH("poids",'Inventaire M'!#REF!,0)))</f>
        <v>#REF!</v>
      </c>
      <c r="L295" s="155" t="str">
        <f>IF(B295="-","",IF(ISERROR(INDEX('Inventaire M-1'!$A$2:$AZ$9320,MATCH(B295,'Inventaire M-1'!$A:$A,0)-1,MATCH("poids",'Inventaire M-1'!#REF!,0))),"Buy",INDEX('Inventaire M-1'!$A$2:$AZ$9320,MATCH(B295,'Inventaire M-1'!$A:$A,0)-1,MATCH("poids",'Inventaire M-1'!#REF!,0))))</f>
        <v>Buy</v>
      </c>
      <c r="M295" s="175"/>
      <c r="N295" s="157" t="str">
        <f t="shared" si="30"/>
        <v>0</v>
      </c>
      <c r="O295" s="98" t="str">
        <f t="shared" si="31"/>
        <v/>
      </c>
      <c r="P295" s="80" t="str">
        <f t="shared" si="32"/>
        <v>TEREOS FINANCE GROUPE I SA 7.25 15/04/2028</v>
      </c>
      <c r="Q295" s="75">
        <v>2.7100000000000001E-8</v>
      </c>
      <c r="R295" s="175" t="str">
        <f>IF(OR('Inventaire M-1'!D48="Dispo/Liquidité Investie",'Inventaire M-1'!D48="Option/Future",'Inventaire M-1'!D48="TCN",'Inventaire M-1'!D48=""),"-",'Inventaire M-1'!A48)</f>
        <v>XS2272845798</v>
      </c>
      <c r="S295" s="175" t="str">
        <f>IF(OR('Inventaire M-1'!D48="Dispo/Liquidité Investie",'Inventaire M-1'!D48="Option/Future",'Inventaire M-1'!D48="TCN",'Inventaire M-1'!D48=""),"-",'Inventaire M-1'!B48)</f>
        <v>VZ VENDOR FINANCING II BV 2.875 15/01/2029</v>
      </c>
      <c r="T295" s="175"/>
      <c r="U295" s="175" t="e">
        <f>IF(R295="-","",INDEX('Inventaire M-1'!$A$2:$AG$9334,MATCH(R295,'Inventaire M-1'!$A:$A,0)-1,MATCH("Cours EUR",'Inventaire M-1'!#REF!,0)))</f>
        <v>#REF!</v>
      </c>
      <c r="V295" s="175" t="str">
        <f>IF(R295="-","",IF(ISERROR(INDEX('Inventaire M'!$A$2:$AD$9319,MATCH(R295,'Inventaire M'!$A:$A,0)-1,MATCH("Cours EUR",'Inventaire M'!#REF!,0))),"Sell",INDEX('Inventaire M'!$A$2:$AD$9319,MATCH(R295,'Inventaire M'!$A:$A,0)-1,MATCH("Cours EUR",'Inventaire M'!#REF!,0))))</f>
        <v>Sell</v>
      </c>
      <c r="W295" s="175"/>
      <c r="X295" s="156" t="e">
        <f>IF(R295="-","",INDEX('Inventaire M-1'!$A$2:$AG$9334,MATCH(R295,'Inventaire M-1'!$A:$A,0)-1,MATCH("quantite",'Inventaire M-1'!#REF!,0)))</f>
        <v>#REF!</v>
      </c>
      <c r="Y295" s="156" t="str">
        <f>IF(S295="-","",IF(ISERROR(INDEX('Inventaire M'!$A$2:$AD$9319,MATCH(R295,'Inventaire M'!$A:$A,0)-1,MATCH("quantite",'Inventaire M'!#REF!,0))),"Sell",INDEX('Inventaire M'!$A$2:$AD$9319,MATCH(R295,'Inventaire M'!$A:$A,0)-1,MATCH("quantite",'Inventaire M'!#REF!,0))))</f>
        <v>Sell</v>
      </c>
      <c r="Z295" s="175"/>
      <c r="AA295" s="155" t="e">
        <f>IF(R295="-","",INDEX('Inventaire M-1'!$A$2:$AG$9334,MATCH(R295,'Inventaire M-1'!$A:$A,0)-1,MATCH("poids",'Inventaire M-1'!#REF!,0)))</f>
        <v>#REF!</v>
      </c>
      <c r="AB295" s="155" t="str">
        <f>IF(R295="-","",IF(ISERROR(INDEX('Inventaire M'!$A$2:$AD$9319,MATCH(R295,'Inventaire M'!$A:$A,0)-1,MATCH("poids",'Inventaire M'!#REF!,0))),"Sell",INDEX('Inventaire M'!$A$2:$AD$9319,MATCH(R295,'Inventaire M'!$A:$A,0)-1,MATCH("poids",'Inventaire M'!#REF!,0))))</f>
        <v>Sell</v>
      </c>
      <c r="AC295" s="175"/>
      <c r="AD295" s="157" t="str">
        <f t="shared" si="33"/>
        <v>0</v>
      </c>
      <c r="AE295" s="98" t="str">
        <f t="shared" si="34"/>
        <v/>
      </c>
      <c r="AF295" s="80" t="str">
        <f t="shared" si="35"/>
        <v>VZ VENDOR FINANCING II BV 2.875 15/01/2029</v>
      </c>
    </row>
    <row r="296" spans="2:32" outlineLevel="1">
      <c r="B296" s="175" t="str">
        <f>IF(OR('Inventaire M'!D74="Dispo/Liquidité Investie",'Inventaire M'!D74="Option/Future",'Inventaire M'!D74="TCN",'Inventaire M'!D74=""),"-",'Inventaire M'!A74)</f>
        <v>XS2550380104</v>
      </c>
      <c r="C296" s="175" t="str">
        <f>IF(OR('Inventaire M'!D74="Dispo/Liquidité Investie",'Inventaire M'!D74="Option/Future",'Inventaire M'!D74="TCN",'Inventaire M'!D74=""),"-",'Inventaire M'!B74)</f>
        <v>CIRSA FINANCE INTERNATIONAL SARL 10.375 30/11/2027</v>
      </c>
      <c r="D296" s="175"/>
      <c r="E296" s="175" t="e">
        <f>IF(B296="-","",INDEX('Inventaire M'!$A$2:$AW$9305,MATCH(B296,'Inventaire M'!$A:$A,0)-1,MATCH("Cours EUR",'Inventaire M'!#REF!,0)))</f>
        <v>#REF!</v>
      </c>
      <c r="F296" s="175" t="str">
        <f>IF(B296="-","",IF(ISERROR(INDEX('Inventaire M-1'!$A$2:$AZ$9320,MATCH(B296,'Inventaire M-1'!$A:$A,0)-1,MATCH("Cours EUR",'Inventaire M-1'!#REF!,0))),"Buy",INDEX('Inventaire M-1'!$A$2:$AZ$9320,MATCH(B296,'Inventaire M-1'!$A:$A,0)-1,MATCH("Cours EUR",'Inventaire M-1'!#REF!,0))))</f>
        <v>Buy</v>
      </c>
      <c r="G296" s="175"/>
      <c r="H296" s="156" t="e">
        <f>IF(B296="-","",INDEX('Inventaire M'!$A$2:$AW$9305,MATCH(B296,'Inventaire M'!$A:$A,0)-1,MATCH("quantite",'Inventaire M'!#REF!,0)))</f>
        <v>#REF!</v>
      </c>
      <c r="I296" s="156" t="str">
        <f>IF(C296="-","",IF(ISERROR(INDEX('Inventaire M-1'!$A$2:$AZ$9320,MATCH(B296,'Inventaire M-1'!$A:$A,0)-1,MATCH("quantite",'Inventaire M-1'!#REF!,0))),"Buy",INDEX('Inventaire M-1'!$A$2:$AZ$9320,MATCH(B296,'Inventaire M-1'!$A:$A,0)-1,MATCH("quantite",'Inventaire M-1'!#REF!,0))))</f>
        <v>Buy</v>
      </c>
      <c r="J296" s="175"/>
      <c r="K296" s="155" t="e">
        <f>IF(B296="-","",INDEX('Inventaire M'!$A$2:$AW$9305,MATCH(B296,'Inventaire M'!$A:$A,0)-1,MATCH("poids",'Inventaire M'!#REF!,0)))</f>
        <v>#REF!</v>
      </c>
      <c r="L296" s="155" t="str">
        <f>IF(B296="-","",IF(ISERROR(INDEX('Inventaire M-1'!$A$2:$AZ$9320,MATCH(B296,'Inventaire M-1'!$A:$A,0)-1,MATCH("poids",'Inventaire M-1'!#REF!,0))),"Buy",INDEX('Inventaire M-1'!$A$2:$AZ$9320,MATCH(B296,'Inventaire M-1'!$A:$A,0)-1,MATCH("poids",'Inventaire M-1'!#REF!,0))))</f>
        <v>Buy</v>
      </c>
      <c r="M296" s="175"/>
      <c r="N296" s="157" t="str">
        <f t="shared" si="30"/>
        <v>0</v>
      </c>
      <c r="O296" s="98" t="str">
        <f t="shared" si="31"/>
        <v/>
      </c>
      <c r="P296" s="80" t="str">
        <f t="shared" si="32"/>
        <v>CIRSA FINANCE INTERNATIONAL SARL 10.375 30/11/2027</v>
      </c>
      <c r="Q296" s="75">
        <v>2.7199999999999999E-8</v>
      </c>
      <c r="R296" s="175" t="str">
        <f>IF(OR('Inventaire M-1'!D49="Dispo/Liquidité Investie",'Inventaire M-1'!D49="Option/Future",'Inventaire M-1'!D49="TCN",'Inventaire M-1'!D49=""),"-",'Inventaire M-1'!A49)</f>
        <v>XS2287912450</v>
      </c>
      <c r="S296" s="175" t="str">
        <f>IF(OR('Inventaire M-1'!D49="Dispo/Liquidité Investie",'Inventaire M-1'!D49="Option/Future",'Inventaire M-1'!D49="TCN",'Inventaire M-1'!D49=""),"-",'Inventaire M-1'!B49)</f>
        <v>VERISURE MIDHOLDING AB 5.25 15/02/2029</v>
      </c>
      <c r="T296" s="175"/>
      <c r="U296" s="175" t="e">
        <f>IF(R296="-","",INDEX('Inventaire M-1'!$A$2:$AG$9334,MATCH(R296,'Inventaire M-1'!$A:$A,0)-1,MATCH("Cours EUR",'Inventaire M-1'!#REF!,0)))</f>
        <v>#REF!</v>
      </c>
      <c r="V296" s="175" t="str">
        <f>IF(R296="-","",IF(ISERROR(INDEX('Inventaire M'!$A$2:$AD$9319,MATCH(R296,'Inventaire M'!$A:$A,0)-1,MATCH("Cours EUR",'Inventaire M'!#REF!,0))),"Sell",INDEX('Inventaire M'!$A$2:$AD$9319,MATCH(R296,'Inventaire M'!$A:$A,0)-1,MATCH("Cours EUR",'Inventaire M'!#REF!,0))))</f>
        <v>Sell</v>
      </c>
      <c r="W296" s="175"/>
      <c r="X296" s="156" t="e">
        <f>IF(R296="-","",INDEX('Inventaire M-1'!$A$2:$AG$9334,MATCH(R296,'Inventaire M-1'!$A:$A,0)-1,MATCH("quantite",'Inventaire M-1'!#REF!,0)))</f>
        <v>#REF!</v>
      </c>
      <c r="Y296" s="156" t="str">
        <f>IF(S296="-","",IF(ISERROR(INDEX('Inventaire M'!$A$2:$AD$9319,MATCH(R296,'Inventaire M'!$A:$A,0)-1,MATCH("quantite",'Inventaire M'!#REF!,0))),"Sell",INDEX('Inventaire M'!$A$2:$AD$9319,MATCH(R296,'Inventaire M'!$A:$A,0)-1,MATCH("quantite",'Inventaire M'!#REF!,0))))</f>
        <v>Sell</v>
      </c>
      <c r="Z296" s="175"/>
      <c r="AA296" s="155" t="e">
        <f>IF(R296="-","",INDEX('Inventaire M-1'!$A$2:$AG$9334,MATCH(R296,'Inventaire M-1'!$A:$A,0)-1,MATCH("poids",'Inventaire M-1'!#REF!,0)))</f>
        <v>#REF!</v>
      </c>
      <c r="AB296" s="155" t="str">
        <f>IF(R296="-","",IF(ISERROR(INDEX('Inventaire M'!$A$2:$AD$9319,MATCH(R296,'Inventaire M'!$A:$A,0)-1,MATCH("poids",'Inventaire M'!#REF!,0))),"Sell",INDEX('Inventaire M'!$A$2:$AD$9319,MATCH(R296,'Inventaire M'!$A:$A,0)-1,MATCH("poids",'Inventaire M'!#REF!,0))))</f>
        <v>Sell</v>
      </c>
      <c r="AC296" s="175"/>
      <c r="AD296" s="157" t="str">
        <f t="shared" si="33"/>
        <v>0</v>
      </c>
      <c r="AE296" s="98" t="str">
        <f t="shared" si="34"/>
        <v/>
      </c>
      <c r="AF296" s="80" t="str">
        <f t="shared" si="35"/>
        <v>VERISURE MIDHOLDING AB 5.25 15/02/2029</v>
      </c>
    </row>
    <row r="297" spans="2:32" outlineLevel="1">
      <c r="B297" s="175" t="str">
        <f>IF(OR('Inventaire M'!D75="Dispo/Liquidité Investie",'Inventaire M'!D75="Option/Future",'Inventaire M'!D75="TCN",'Inventaire M'!D75=""),"-",'Inventaire M'!A75)</f>
        <v>XS2576550243</v>
      </c>
      <c r="C297" s="175" t="str">
        <f>IF(OR('Inventaire M'!D75="Dispo/Liquidité Investie",'Inventaire M'!D75="Option/Future",'Inventaire M'!D75="TCN",'Inventaire M'!D75=""),"-",'Inventaire M'!B75)</f>
        <v>ENEL SPA NC8.5 PERP</v>
      </c>
      <c r="D297" s="175"/>
      <c r="E297" s="175" t="e">
        <f>IF(B297="-","",INDEX('Inventaire M'!$A$2:$AW$9305,MATCH(B297,'Inventaire M'!$A:$A,0)-1,MATCH("Cours EUR",'Inventaire M'!#REF!,0)))</f>
        <v>#REF!</v>
      </c>
      <c r="F297" s="175" t="str">
        <f>IF(B297="-","",IF(ISERROR(INDEX('Inventaire M-1'!$A$2:$AZ$9320,MATCH(B297,'Inventaire M-1'!$A:$A,0)-1,MATCH("Cours EUR",'Inventaire M-1'!#REF!,0))),"Buy",INDEX('Inventaire M-1'!$A$2:$AZ$9320,MATCH(B297,'Inventaire M-1'!$A:$A,0)-1,MATCH("Cours EUR",'Inventaire M-1'!#REF!,0))))</f>
        <v>Buy</v>
      </c>
      <c r="G297" s="175"/>
      <c r="H297" s="156" t="e">
        <f>IF(B297="-","",INDEX('Inventaire M'!$A$2:$AW$9305,MATCH(B297,'Inventaire M'!$A:$A,0)-1,MATCH("quantite",'Inventaire M'!#REF!,0)))</f>
        <v>#REF!</v>
      </c>
      <c r="I297" s="156" t="str">
        <f>IF(C297="-","",IF(ISERROR(INDEX('Inventaire M-1'!$A$2:$AZ$9320,MATCH(B297,'Inventaire M-1'!$A:$A,0)-1,MATCH("quantite",'Inventaire M-1'!#REF!,0))),"Buy",INDEX('Inventaire M-1'!$A$2:$AZ$9320,MATCH(B297,'Inventaire M-1'!$A:$A,0)-1,MATCH("quantite",'Inventaire M-1'!#REF!,0))))</f>
        <v>Buy</v>
      </c>
      <c r="J297" s="175"/>
      <c r="K297" s="155" t="e">
        <f>IF(B297="-","",INDEX('Inventaire M'!$A$2:$AW$9305,MATCH(B297,'Inventaire M'!$A:$A,0)-1,MATCH("poids",'Inventaire M'!#REF!,0)))</f>
        <v>#REF!</v>
      </c>
      <c r="L297" s="155" t="str">
        <f>IF(B297="-","",IF(ISERROR(INDEX('Inventaire M-1'!$A$2:$AZ$9320,MATCH(B297,'Inventaire M-1'!$A:$A,0)-1,MATCH("poids",'Inventaire M-1'!#REF!,0))),"Buy",INDEX('Inventaire M-1'!$A$2:$AZ$9320,MATCH(B297,'Inventaire M-1'!$A:$A,0)-1,MATCH("poids",'Inventaire M-1'!#REF!,0))))</f>
        <v>Buy</v>
      </c>
      <c r="M297" s="175"/>
      <c r="N297" s="157" t="str">
        <f t="shared" si="30"/>
        <v>0</v>
      </c>
      <c r="O297" s="98" t="str">
        <f t="shared" si="31"/>
        <v/>
      </c>
      <c r="P297" s="80" t="str">
        <f t="shared" si="32"/>
        <v>ENEL SPA NC8.5 PERP</v>
      </c>
      <c r="Q297" s="75">
        <v>2.73E-8</v>
      </c>
      <c r="R297" s="175" t="str">
        <f>IF(OR('Inventaire M-1'!D50="Dispo/Liquidité Investie",'Inventaire M-1'!D50="Option/Future",'Inventaire M-1'!D50="TCN",'Inventaire M-1'!D50=""),"-",'Inventaire M-1'!A50)</f>
        <v>XS2289588837</v>
      </c>
      <c r="S297" s="175" t="str">
        <f>IF(OR('Inventaire M-1'!D50="Dispo/Liquidité Investie",'Inventaire M-1'!D50="Option/Future",'Inventaire M-1'!D50="TCN",'Inventaire M-1'!D50=""),"-",'Inventaire M-1'!B50)</f>
        <v>VERISURE HOLDING AB 3.25 15/02/2027</v>
      </c>
      <c r="T297" s="175"/>
      <c r="U297" s="175" t="e">
        <f>IF(R297="-","",INDEX('Inventaire M-1'!$A$2:$AG$9334,MATCH(R297,'Inventaire M-1'!$A:$A,0)-1,MATCH("Cours EUR",'Inventaire M-1'!#REF!,0)))</f>
        <v>#REF!</v>
      </c>
      <c r="V297" s="175" t="str">
        <f>IF(R297="-","",IF(ISERROR(INDEX('Inventaire M'!$A$2:$AD$9319,MATCH(R297,'Inventaire M'!$A:$A,0)-1,MATCH("Cours EUR",'Inventaire M'!#REF!,0))),"Sell",INDEX('Inventaire M'!$A$2:$AD$9319,MATCH(R297,'Inventaire M'!$A:$A,0)-1,MATCH("Cours EUR",'Inventaire M'!#REF!,0))))</f>
        <v>Sell</v>
      </c>
      <c r="W297" s="175"/>
      <c r="X297" s="156" t="e">
        <f>IF(R297="-","",INDEX('Inventaire M-1'!$A$2:$AG$9334,MATCH(R297,'Inventaire M-1'!$A:$A,0)-1,MATCH("quantite",'Inventaire M-1'!#REF!,0)))</f>
        <v>#REF!</v>
      </c>
      <c r="Y297" s="156" t="str">
        <f>IF(S297="-","",IF(ISERROR(INDEX('Inventaire M'!$A$2:$AD$9319,MATCH(R297,'Inventaire M'!$A:$A,0)-1,MATCH("quantite",'Inventaire M'!#REF!,0))),"Sell",INDEX('Inventaire M'!$A$2:$AD$9319,MATCH(R297,'Inventaire M'!$A:$A,0)-1,MATCH("quantite",'Inventaire M'!#REF!,0))))</f>
        <v>Sell</v>
      </c>
      <c r="Z297" s="175"/>
      <c r="AA297" s="155" t="e">
        <f>IF(R297="-","",INDEX('Inventaire M-1'!$A$2:$AG$9334,MATCH(R297,'Inventaire M-1'!$A:$A,0)-1,MATCH("poids",'Inventaire M-1'!#REF!,0)))</f>
        <v>#REF!</v>
      </c>
      <c r="AB297" s="155" t="str">
        <f>IF(R297="-","",IF(ISERROR(INDEX('Inventaire M'!$A$2:$AD$9319,MATCH(R297,'Inventaire M'!$A:$A,0)-1,MATCH("poids",'Inventaire M'!#REF!,0))),"Sell",INDEX('Inventaire M'!$A$2:$AD$9319,MATCH(R297,'Inventaire M'!$A:$A,0)-1,MATCH("poids",'Inventaire M'!#REF!,0))))</f>
        <v>Sell</v>
      </c>
      <c r="AC297" s="175"/>
      <c r="AD297" s="157" t="str">
        <f t="shared" si="33"/>
        <v>0</v>
      </c>
      <c r="AE297" s="98" t="str">
        <f t="shared" si="34"/>
        <v/>
      </c>
      <c r="AF297" s="80" t="str">
        <f t="shared" si="35"/>
        <v>VERISURE HOLDING AB 3.25 15/02/2027</v>
      </c>
    </row>
    <row r="298" spans="2:32" outlineLevel="1">
      <c r="B298" s="175" t="str">
        <f>IF(OR('Inventaire M'!D76="Dispo/Liquidité Investie",'Inventaire M'!D76="Option/Future",'Inventaire M'!D76="TCN",'Inventaire M'!D76=""),"-",'Inventaire M'!A76)</f>
        <v>XS2581647091</v>
      </c>
      <c r="C298" s="175" t="str">
        <f>IF(OR('Inventaire M'!D76="Dispo/Liquidité Investie",'Inventaire M'!D76="Option/Future",'Inventaire M'!D76="TCN",'Inventaire M'!D76=""),"-",'Inventaire M'!B76)</f>
        <v>VERISURE HOLDING AB 7.125 01/02/2028</v>
      </c>
      <c r="D298" s="175"/>
      <c r="E298" s="175" t="e">
        <f>IF(B298="-","",INDEX('Inventaire M'!$A$2:$AW$9305,MATCH(B298,'Inventaire M'!$A:$A,0)-1,MATCH("Cours EUR",'Inventaire M'!#REF!,0)))</f>
        <v>#REF!</v>
      </c>
      <c r="F298" s="175" t="str">
        <f>IF(B298="-","",IF(ISERROR(INDEX('Inventaire M-1'!$A$2:$AZ$9320,MATCH(B298,'Inventaire M-1'!$A:$A,0)-1,MATCH("Cours EUR",'Inventaire M-1'!#REF!,0))),"Buy",INDEX('Inventaire M-1'!$A$2:$AZ$9320,MATCH(B298,'Inventaire M-1'!$A:$A,0)-1,MATCH("Cours EUR",'Inventaire M-1'!#REF!,0))))</f>
        <v>Buy</v>
      </c>
      <c r="G298" s="175"/>
      <c r="H298" s="156" t="e">
        <f>IF(B298="-","",INDEX('Inventaire M'!$A$2:$AW$9305,MATCH(B298,'Inventaire M'!$A:$A,0)-1,MATCH("quantite",'Inventaire M'!#REF!,0)))</f>
        <v>#REF!</v>
      </c>
      <c r="I298" s="156" t="str">
        <f>IF(C298="-","",IF(ISERROR(INDEX('Inventaire M-1'!$A$2:$AZ$9320,MATCH(B298,'Inventaire M-1'!$A:$A,0)-1,MATCH("quantite",'Inventaire M-1'!#REF!,0))),"Buy",INDEX('Inventaire M-1'!$A$2:$AZ$9320,MATCH(B298,'Inventaire M-1'!$A:$A,0)-1,MATCH("quantite",'Inventaire M-1'!#REF!,0))))</f>
        <v>Buy</v>
      </c>
      <c r="J298" s="175"/>
      <c r="K298" s="155" t="e">
        <f>IF(B298="-","",INDEX('Inventaire M'!$A$2:$AW$9305,MATCH(B298,'Inventaire M'!$A:$A,0)-1,MATCH("poids",'Inventaire M'!#REF!,0)))</f>
        <v>#REF!</v>
      </c>
      <c r="L298" s="155" t="str">
        <f>IF(B298="-","",IF(ISERROR(INDEX('Inventaire M-1'!$A$2:$AZ$9320,MATCH(B298,'Inventaire M-1'!$A:$A,0)-1,MATCH("poids",'Inventaire M-1'!#REF!,0))),"Buy",INDEX('Inventaire M-1'!$A$2:$AZ$9320,MATCH(B298,'Inventaire M-1'!$A:$A,0)-1,MATCH("poids",'Inventaire M-1'!#REF!,0))))</f>
        <v>Buy</v>
      </c>
      <c r="M298" s="175"/>
      <c r="N298" s="157" t="str">
        <f t="shared" si="30"/>
        <v>0</v>
      </c>
      <c r="O298" s="98" t="str">
        <f t="shared" si="31"/>
        <v/>
      </c>
      <c r="P298" s="80" t="str">
        <f t="shared" si="32"/>
        <v>VERISURE HOLDING AB 7.125 01/02/2028</v>
      </c>
      <c r="Q298" s="75">
        <v>2.7400000000000001E-8</v>
      </c>
      <c r="R298" s="175" t="str">
        <f>IF(OR('Inventaire M-1'!D51="Dispo/Liquidité Investie",'Inventaire M-1'!D51="Option/Future",'Inventaire M-1'!D51="TCN",'Inventaire M-1'!D51=""),"-",'Inventaire M-1'!A51)</f>
        <v>XS2290533020</v>
      </c>
      <c r="S298" s="175" t="str">
        <f>IF(OR('Inventaire M-1'!D51="Dispo/Liquidité Investie",'Inventaire M-1'!D51="Option/Future",'Inventaire M-1'!D51="TCN",'Inventaire M-1'!D51=""),"-",'Inventaire M-1'!B51)</f>
        <v>CPI PROPERTY GROUP SA PERP</v>
      </c>
      <c r="T298" s="175"/>
      <c r="U298" s="175" t="e">
        <f>IF(R298="-","",INDEX('Inventaire M-1'!$A$2:$AG$9334,MATCH(R298,'Inventaire M-1'!$A:$A,0)-1,MATCH("Cours EUR",'Inventaire M-1'!#REF!,0)))</f>
        <v>#REF!</v>
      </c>
      <c r="V298" s="175" t="str">
        <f>IF(R298="-","",IF(ISERROR(INDEX('Inventaire M'!$A$2:$AD$9319,MATCH(R298,'Inventaire M'!$A:$A,0)-1,MATCH("Cours EUR",'Inventaire M'!#REF!,0))),"Sell",INDEX('Inventaire M'!$A$2:$AD$9319,MATCH(R298,'Inventaire M'!$A:$A,0)-1,MATCH("Cours EUR",'Inventaire M'!#REF!,0))))</f>
        <v>Sell</v>
      </c>
      <c r="W298" s="175"/>
      <c r="X298" s="156" t="e">
        <f>IF(R298="-","",INDEX('Inventaire M-1'!$A$2:$AG$9334,MATCH(R298,'Inventaire M-1'!$A:$A,0)-1,MATCH("quantite",'Inventaire M-1'!#REF!,0)))</f>
        <v>#REF!</v>
      </c>
      <c r="Y298" s="156" t="str">
        <f>IF(S298="-","",IF(ISERROR(INDEX('Inventaire M'!$A$2:$AD$9319,MATCH(R298,'Inventaire M'!$A:$A,0)-1,MATCH("quantite",'Inventaire M'!#REF!,0))),"Sell",INDEX('Inventaire M'!$A$2:$AD$9319,MATCH(R298,'Inventaire M'!$A:$A,0)-1,MATCH("quantite",'Inventaire M'!#REF!,0))))</f>
        <v>Sell</v>
      </c>
      <c r="Z298" s="175"/>
      <c r="AA298" s="155" t="e">
        <f>IF(R298="-","",INDEX('Inventaire M-1'!$A$2:$AG$9334,MATCH(R298,'Inventaire M-1'!$A:$A,0)-1,MATCH("poids",'Inventaire M-1'!#REF!,0)))</f>
        <v>#REF!</v>
      </c>
      <c r="AB298" s="155" t="str">
        <f>IF(R298="-","",IF(ISERROR(INDEX('Inventaire M'!$A$2:$AD$9319,MATCH(R298,'Inventaire M'!$A:$A,0)-1,MATCH("poids",'Inventaire M'!#REF!,0))),"Sell",INDEX('Inventaire M'!$A$2:$AD$9319,MATCH(R298,'Inventaire M'!$A:$A,0)-1,MATCH("poids",'Inventaire M'!#REF!,0))))</f>
        <v>Sell</v>
      </c>
      <c r="AC298" s="175"/>
      <c r="AD298" s="157" t="str">
        <f t="shared" si="33"/>
        <v>0</v>
      </c>
      <c r="AE298" s="98" t="str">
        <f t="shared" si="34"/>
        <v/>
      </c>
      <c r="AF298" s="80" t="str">
        <f t="shared" si="35"/>
        <v>CPI PROPERTY GROUP SA PERP</v>
      </c>
    </row>
    <row r="299" spans="2:32" outlineLevel="1">
      <c r="B299" s="175" t="str">
        <f>IF(OR('Inventaire M'!D77="Dispo/Liquidité Investie",'Inventaire M'!D77="Option/Future",'Inventaire M'!D77="TCN",'Inventaire M'!D77=""),"-",'Inventaire M'!A77)</f>
        <v>XS2582788100</v>
      </c>
      <c r="C299" s="175" t="str">
        <f>IF(OR('Inventaire M'!D77="Dispo/Liquidité Investie",'Inventaire M'!D77="Option/Future",'Inventaire M'!D77="TCN",'Inventaire M'!D77=""),"-",'Inventaire M'!B77)</f>
        <v>ITALMATCH CHEMICALS SPA 10 06/02/2028</v>
      </c>
      <c r="D299" s="175"/>
      <c r="E299" s="175" t="e">
        <f>IF(B299="-","",INDEX('Inventaire M'!$A$2:$AW$9305,MATCH(B299,'Inventaire M'!$A:$A,0)-1,MATCH("Cours EUR",'Inventaire M'!#REF!,0)))</f>
        <v>#REF!</v>
      </c>
      <c r="F299" s="175" t="str">
        <f>IF(B299="-","",IF(ISERROR(INDEX('Inventaire M-1'!$A$2:$AZ$9320,MATCH(B299,'Inventaire M-1'!$A:$A,0)-1,MATCH("Cours EUR",'Inventaire M-1'!#REF!,0))),"Buy",INDEX('Inventaire M-1'!$A$2:$AZ$9320,MATCH(B299,'Inventaire M-1'!$A:$A,0)-1,MATCH("Cours EUR",'Inventaire M-1'!#REF!,0))))</f>
        <v>Buy</v>
      </c>
      <c r="G299" s="175"/>
      <c r="H299" s="156" t="e">
        <f>IF(B299="-","",INDEX('Inventaire M'!$A$2:$AW$9305,MATCH(B299,'Inventaire M'!$A:$A,0)-1,MATCH("quantite",'Inventaire M'!#REF!,0)))</f>
        <v>#REF!</v>
      </c>
      <c r="I299" s="156" t="str">
        <f>IF(C299="-","",IF(ISERROR(INDEX('Inventaire M-1'!$A$2:$AZ$9320,MATCH(B299,'Inventaire M-1'!$A:$A,0)-1,MATCH("quantite",'Inventaire M-1'!#REF!,0))),"Buy",INDEX('Inventaire M-1'!$A$2:$AZ$9320,MATCH(B299,'Inventaire M-1'!$A:$A,0)-1,MATCH("quantite",'Inventaire M-1'!#REF!,0))))</f>
        <v>Buy</v>
      </c>
      <c r="J299" s="175"/>
      <c r="K299" s="155" t="e">
        <f>IF(B299="-","",INDEX('Inventaire M'!$A$2:$AW$9305,MATCH(B299,'Inventaire M'!$A:$A,0)-1,MATCH("poids",'Inventaire M'!#REF!,0)))</f>
        <v>#REF!</v>
      </c>
      <c r="L299" s="155" t="str">
        <f>IF(B299="-","",IF(ISERROR(INDEX('Inventaire M-1'!$A$2:$AZ$9320,MATCH(B299,'Inventaire M-1'!$A:$A,0)-1,MATCH("poids",'Inventaire M-1'!#REF!,0))),"Buy",INDEX('Inventaire M-1'!$A$2:$AZ$9320,MATCH(B299,'Inventaire M-1'!$A:$A,0)-1,MATCH("poids",'Inventaire M-1'!#REF!,0))))</f>
        <v>Buy</v>
      </c>
      <c r="M299" s="175"/>
      <c r="N299" s="157" t="str">
        <f t="shared" si="30"/>
        <v>0</v>
      </c>
      <c r="O299" s="98" t="str">
        <f t="shared" si="31"/>
        <v/>
      </c>
      <c r="P299" s="80" t="str">
        <f t="shared" si="32"/>
        <v>ITALMATCH CHEMICALS SPA 10 06/02/2028</v>
      </c>
      <c r="Q299" s="75">
        <v>2.7500000000000001E-8</v>
      </c>
      <c r="R299" s="175" t="str">
        <f>IF(OR('Inventaire M-1'!D52="Dispo/Liquidité Investie",'Inventaire M-1'!D52="Option/Future",'Inventaire M-1'!D52="TCN",'Inventaire M-1'!D52=""),"-",'Inventaire M-1'!A52)</f>
        <v>XS2293060658</v>
      </c>
      <c r="S299" s="175" t="str">
        <f>IF(OR('Inventaire M-1'!D52="Dispo/Liquidité Investie",'Inventaire M-1'!D52="Option/Future",'Inventaire M-1'!D52="TCN",'Inventaire M-1'!D52=""),"-",'Inventaire M-1'!B52)</f>
        <v>TELEFONICA EUROPE BV PERP</v>
      </c>
      <c r="T299" s="175"/>
      <c r="U299" s="175" t="e">
        <f>IF(R299="-","",INDEX('Inventaire M-1'!$A$2:$AG$9334,MATCH(R299,'Inventaire M-1'!$A:$A,0)-1,MATCH("Cours EUR",'Inventaire M-1'!#REF!,0)))</f>
        <v>#REF!</v>
      </c>
      <c r="V299" s="175" t="str">
        <f>IF(R299="-","",IF(ISERROR(INDEX('Inventaire M'!$A$2:$AD$9319,MATCH(R299,'Inventaire M'!$A:$A,0)-1,MATCH("Cours EUR",'Inventaire M'!#REF!,0))),"Sell",INDEX('Inventaire M'!$A$2:$AD$9319,MATCH(R299,'Inventaire M'!$A:$A,0)-1,MATCH("Cours EUR",'Inventaire M'!#REF!,0))))</f>
        <v>Sell</v>
      </c>
      <c r="W299" s="175"/>
      <c r="X299" s="156" t="e">
        <f>IF(R299="-","",INDEX('Inventaire M-1'!$A$2:$AG$9334,MATCH(R299,'Inventaire M-1'!$A:$A,0)-1,MATCH("quantite",'Inventaire M-1'!#REF!,0)))</f>
        <v>#REF!</v>
      </c>
      <c r="Y299" s="156" t="str">
        <f>IF(S299="-","",IF(ISERROR(INDEX('Inventaire M'!$A$2:$AD$9319,MATCH(R299,'Inventaire M'!$A:$A,0)-1,MATCH("quantite",'Inventaire M'!#REF!,0))),"Sell",INDEX('Inventaire M'!$A$2:$AD$9319,MATCH(R299,'Inventaire M'!$A:$A,0)-1,MATCH("quantite",'Inventaire M'!#REF!,0))))</f>
        <v>Sell</v>
      </c>
      <c r="Z299" s="175"/>
      <c r="AA299" s="155" t="e">
        <f>IF(R299="-","",INDEX('Inventaire M-1'!$A$2:$AG$9334,MATCH(R299,'Inventaire M-1'!$A:$A,0)-1,MATCH("poids",'Inventaire M-1'!#REF!,0)))</f>
        <v>#REF!</v>
      </c>
      <c r="AB299" s="155" t="str">
        <f>IF(R299="-","",IF(ISERROR(INDEX('Inventaire M'!$A$2:$AD$9319,MATCH(R299,'Inventaire M'!$A:$A,0)-1,MATCH("poids",'Inventaire M'!#REF!,0))),"Sell",INDEX('Inventaire M'!$A$2:$AD$9319,MATCH(R299,'Inventaire M'!$A:$A,0)-1,MATCH("poids",'Inventaire M'!#REF!,0))))</f>
        <v>Sell</v>
      </c>
      <c r="AC299" s="175"/>
      <c r="AD299" s="157" t="str">
        <f t="shared" si="33"/>
        <v>0</v>
      </c>
      <c r="AE299" s="98" t="str">
        <f t="shared" si="34"/>
        <v/>
      </c>
      <c r="AF299" s="80" t="str">
        <f t="shared" si="35"/>
        <v>TELEFONICA EUROPE BV PERP</v>
      </c>
    </row>
    <row r="300" spans="2:32" outlineLevel="1">
      <c r="B300" s="175" t="str">
        <f>IF(OR('Inventaire M'!D78="Dispo/Liquidité Investie",'Inventaire M'!D78="Option/Future",'Inventaire M'!D78="TCN",'Inventaire M'!D78=""),"-",'Inventaire M'!A78)</f>
        <v>XS2592804434</v>
      </c>
      <c r="C300" s="175" t="str">
        <f>IF(OR('Inventaire M'!D78="Dispo/Liquidité Investie",'Inventaire M'!D78="Option/Future",'Inventaire M'!D78="TCN",'Inventaire M'!D78=""),"-",'Inventaire M'!B78)</f>
        <v>TEVA PHARMACEUTICAL FINANCE NETHER 7.375 15/09/2029</v>
      </c>
      <c r="D300" s="175"/>
      <c r="E300" s="175" t="e">
        <f>IF(B300="-","",INDEX('Inventaire M'!$A$2:$AW$9305,MATCH(B300,'Inventaire M'!$A:$A,0)-1,MATCH("Cours EUR",'Inventaire M'!#REF!,0)))</f>
        <v>#REF!</v>
      </c>
      <c r="F300" s="175" t="str">
        <f>IF(B300="-","",IF(ISERROR(INDEX('Inventaire M-1'!$A$2:$AZ$9320,MATCH(B300,'Inventaire M-1'!$A:$A,0)-1,MATCH("Cours EUR",'Inventaire M-1'!#REF!,0))),"Buy",INDEX('Inventaire M-1'!$A$2:$AZ$9320,MATCH(B300,'Inventaire M-1'!$A:$A,0)-1,MATCH("Cours EUR",'Inventaire M-1'!#REF!,0))))</f>
        <v>Buy</v>
      </c>
      <c r="G300" s="175"/>
      <c r="H300" s="156" t="e">
        <f>IF(B300="-","",INDEX('Inventaire M'!$A$2:$AW$9305,MATCH(B300,'Inventaire M'!$A:$A,0)-1,MATCH("quantite",'Inventaire M'!#REF!,0)))</f>
        <v>#REF!</v>
      </c>
      <c r="I300" s="156" t="str">
        <f>IF(C300="-","",IF(ISERROR(INDEX('Inventaire M-1'!$A$2:$AZ$9320,MATCH(B300,'Inventaire M-1'!$A:$A,0)-1,MATCH("quantite",'Inventaire M-1'!#REF!,0))),"Buy",INDEX('Inventaire M-1'!$A$2:$AZ$9320,MATCH(B300,'Inventaire M-1'!$A:$A,0)-1,MATCH("quantite",'Inventaire M-1'!#REF!,0))))</f>
        <v>Buy</v>
      </c>
      <c r="J300" s="175"/>
      <c r="K300" s="155" t="e">
        <f>IF(B300="-","",INDEX('Inventaire M'!$A$2:$AW$9305,MATCH(B300,'Inventaire M'!$A:$A,0)-1,MATCH("poids",'Inventaire M'!#REF!,0)))</f>
        <v>#REF!</v>
      </c>
      <c r="L300" s="155" t="str">
        <f>IF(B300="-","",IF(ISERROR(INDEX('Inventaire M-1'!$A$2:$AZ$9320,MATCH(B300,'Inventaire M-1'!$A:$A,0)-1,MATCH("poids",'Inventaire M-1'!#REF!,0))),"Buy",INDEX('Inventaire M-1'!$A$2:$AZ$9320,MATCH(B300,'Inventaire M-1'!$A:$A,0)-1,MATCH("poids",'Inventaire M-1'!#REF!,0))))</f>
        <v>Buy</v>
      </c>
      <c r="M300" s="175"/>
      <c r="N300" s="157" t="str">
        <f t="shared" si="30"/>
        <v>0</v>
      </c>
      <c r="O300" s="98" t="str">
        <f t="shared" si="31"/>
        <v/>
      </c>
      <c r="P300" s="80" t="str">
        <f t="shared" si="32"/>
        <v>TEVA PHARMACEUTICAL FINANCE NETHER 7.375 15/09/2029</v>
      </c>
      <c r="Q300" s="75">
        <v>2.7599999999999999E-8</v>
      </c>
      <c r="R300" s="175" t="str">
        <f>IF(OR('Inventaire M-1'!D53="Dispo/Liquidité Investie",'Inventaire M-1'!D53="Option/Future",'Inventaire M-1'!D53="TCN",'Inventaire M-1'!D53=""),"-",'Inventaire M-1'!A53)</f>
        <v>XS2305744059</v>
      </c>
      <c r="S300" s="175" t="str">
        <f>IF(OR('Inventaire M-1'!D53="Dispo/Liquidité Investie",'Inventaire M-1'!D53="Option/Future",'Inventaire M-1'!D53="TCN",'Inventaire M-1'!D53=""),"-",'Inventaire M-1'!B53)</f>
        <v>IQVIA INC 2.25 15/03/2029</v>
      </c>
      <c r="T300" s="175"/>
      <c r="U300" s="175" t="e">
        <f>IF(R300="-","",INDEX('Inventaire M-1'!$A$2:$AG$9334,MATCH(R300,'Inventaire M-1'!$A:$A,0)-1,MATCH("Cours EUR",'Inventaire M-1'!#REF!,0)))</f>
        <v>#REF!</v>
      </c>
      <c r="V300" s="175" t="str">
        <f>IF(R300="-","",IF(ISERROR(INDEX('Inventaire M'!$A$2:$AD$9319,MATCH(R300,'Inventaire M'!$A:$A,0)-1,MATCH("Cours EUR",'Inventaire M'!#REF!,0))),"Sell",INDEX('Inventaire M'!$A$2:$AD$9319,MATCH(R300,'Inventaire M'!$A:$A,0)-1,MATCH("Cours EUR",'Inventaire M'!#REF!,0))))</f>
        <v>Sell</v>
      </c>
      <c r="W300" s="175"/>
      <c r="X300" s="156" t="e">
        <f>IF(R300="-","",INDEX('Inventaire M-1'!$A$2:$AG$9334,MATCH(R300,'Inventaire M-1'!$A:$A,0)-1,MATCH("quantite",'Inventaire M-1'!#REF!,0)))</f>
        <v>#REF!</v>
      </c>
      <c r="Y300" s="156" t="str">
        <f>IF(S300="-","",IF(ISERROR(INDEX('Inventaire M'!$A$2:$AD$9319,MATCH(R300,'Inventaire M'!$A:$A,0)-1,MATCH("quantite",'Inventaire M'!#REF!,0))),"Sell",INDEX('Inventaire M'!$A$2:$AD$9319,MATCH(R300,'Inventaire M'!$A:$A,0)-1,MATCH("quantite",'Inventaire M'!#REF!,0))))</f>
        <v>Sell</v>
      </c>
      <c r="Z300" s="175"/>
      <c r="AA300" s="155" t="e">
        <f>IF(R300="-","",INDEX('Inventaire M-1'!$A$2:$AG$9334,MATCH(R300,'Inventaire M-1'!$A:$A,0)-1,MATCH("poids",'Inventaire M-1'!#REF!,0)))</f>
        <v>#REF!</v>
      </c>
      <c r="AB300" s="155" t="str">
        <f>IF(R300="-","",IF(ISERROR(INDEX('Inventaire M'!$A$2:$AD$9319,MATCH(R300,'Inventaire M'!$A:$A,0)-1,MATCH("poids",'Inventaire M'!#REF!,0))),"Sell",INDEX('Inventaire M'!$A$2:$AD$9319,MATCH(R300,'Inventaire M'!$A:$A,0)-1,MATCH("poids",'Inventaire M'!#REF!,0))))</f>
        <v>Sell</v>
      </c>
      <c r="AC300" s="175"/>
      <c r="AD300" s="157" t="str">
        <f t="shared" si="33"/>
        <v>0</v>
      </c>
      <c r="AE300" s="98" t="str">
        <f t="shared" si="34"/>
        <v/>
      </c>
      <c r="AF300" s="80" t="str">
        <f t="shared" si="35"/>
        <v>IQVIA INC 2.25 15/03/2029</v>
      </c>
    </row>
    <row r="301" spans="2:32" outlineLevel="1">
      <c r="B301" s="175" t="str">
        <f>IF(OR('Inventaire M'!D79="Dispo/Liquidité Investie",'Inventaire M'!D79="Option/Future",'Inventaire M'!D79="TCN",'Inventaire M'!D79=""),"-",'Inventaire M'!A79)</f>
        <v>XS2615562274</v>
      </c>
      <c r="C301" s="175" t="str">
        <f>IF(OR('Inventaire M'!D79="Dispo/Liquidité Investie",'Inventaire M'!D79="Option/Future",'Inventaire M'!D79="TCN",'Inventaire M'!D79=""),"-",'Inventaire M'!B79)</f>
        <v>GRUENENTHAL GMBH 6.75 15/05/2030</v>
      </c>
      <c r="D301" s="175"/>
      <c r="E301" s="175" t="e">
        <f>IF(B301="-","",INDEX('Inventaire M'!$A$2:$AW$9305,MATCH(B301,'Inventaire M'!$A:$A,0)-1,MATCH("Cours EUR",'Inventaire M'!#REF!,0)))</f>
        <v>#REF!</v>
      </c>
      <c r="F301" s="175" t="str">
        <f>IF(B301="-","",IF(ISERROR(INDEX('Inventaire M-1'!$A$2:$AZ$9320,MATCH(B301,'Inventaire M-1'!$A:$A,0)-1,MATCH("Cours EUR",'Inventaire M-1'!#REF!,0))),"Buy",INDEX('Inventaire M-1'!$A$2:$AZ$9320,MATCH(B301,'Inventaire M-1'!$A:$A,0)-1,MATCH("Cours EUR",'Inventaire M-1'!#REF!,0))))</f>
        <v>Buy</v>
      </c>
      <c r="G301" s="175"/>
      <c r="H301" s="156" t="e">
        <f>IF(B301="-","",INDEX('Inventaire M'!$A$2:$AW$9305,MATCH(B301,'Inventaire M'!$A:$A,0)-1,MATCH("quantite",'Inventaire M'!#REF!,0)))</f>
        <v>#REF!</v>
      </c>
      <c r="I301" s="156" t="str">
        <f>IF(C301="-","",IF(ISERROR(INDEX('Inventaire M-1'!$A$2:$AZ$9320,MATCH(B301,'Inventaire M-1'!$A:$A,0)-1,MATCH("quantite",'Inventaire M-1'!#REF!,0))),"Buy",INDEX('Inventaire M-1'!$A$2:$AZ$9320,MATCH(B301,'Inventaire M-1'!$A:$A,0)-1,MATCH("quantite",'Inventaire M-1'!#REF!,0))))</f>
        <v>Buy</v>
      </c>
      <c r="J301" s="175"/>
      <c r="K301" s="155" t="e">
        <f>IF(B301="-","",INDEX('Inventaire M'!$A$2:$AW$9305,MATCH(B301,'Inventaire M'!$A:$A,0)-1,MATCH("poids",'Inventaire M'!#REF!,0)))</f>
        <v>#REF!</v>
      </c>
      <c r="L301" s="155" t="str">
        <f>IF(B301="-","",IF(ISERROR(INDEX('Inventaire M-1'!$A$2:$AZ$9320,MATCH(B301,'Inventaire M-1'!$A:$A,0)-1,MATCH("poids",'Inventaire M-1'!#REF!,0))),"Buy",INDEX('Inventaire M-1'!$A$2:$AZ$9320,MATCH(B301,'Inventaire M-1'!$A:$A,0)-1,MATCH("poids",'Inventaire M-1'!#REF!,0))))</f>
        <v>Buy</v>
      </c>
      <c r="M301" s="175"/>
      <c r="N301" s="157" t="str">
        <f t="shared" si="30"/>
        <v>0</v>
      </c>
      <c r="O301" s="98" t="str">
        <f t="shared" si="31"/>
        <v/>
      </c>
      <c r="P301" s="80" t="str">
        <f t="shared" si="32"/>
        <v>GRUENENTHAL GMBH 6.75 15/05/2030</v>
      </c>
      <c r="Q301" s="75">
        <v>2.77E-8</v>
      </c>
      <c r="R301" s="175" t="str">
        <f>IF(OR('Inventaire M-1'!D54="Dispo/Liquidité Investie",'Inventaire M-1'!D54="Option/Future",'Inventaire M-1'!D54="TCN",'Inventaire M-1'!D54=""),"-",'Inventaire M-1'!A54)</f>
        <v>XS2332250708</v>
      </c>
      <c r="S301" s="175" t="str">
        <f>IF(OR('Inventaire M-1'!D54="Dispo/Liquidité Investie",'Inventaire M-1'!D54="Option/Future",'Inventaire M-1'!D54="TCN",'Inventaire M-1'!D54=""),"-",'Inventaire M-1'!B54)</f>
        <v>ORGANON &amp; CO/ORG 2.875 30/04/2028</v>
      </c>
      <c r="T301" s="175"/>
      <c r="U301" s="175" t="e">
        <f>IF(R301="-","",INDEX('Inventaire M-1'!$A$2:$AG$9334,MATCH(R301,'Inventaire M-1'!$A:$A,0)-1,MATCH("Cours EUR",'Inventaire M-1'!#REF!,0)))</f>
        <v>#REF!</v>
      </c>
      <c r="V301" s="175" t="str">
        <f>IF(R301="-","",IF(ISERROR(INDEX('Inventaire M'!$A$2:$AD$9319,MATCH(R301,'Inventaire M'!$A:$A,0)-1,MATCH("Cours EUR",'Inventaire M'!#REF!,0))),"Sell",INDEX('Inventaire M'!$A$2:$AD$9319,MATCH(R301,'Inventaire M'!$A:$A,0)-1,MATCH("Cours EUR",'Inventaire M'!#REF!,0))))</f>
        <v>Sell</v>
      </c>
      <c r="W301" s="175"/>
      <c r="X301" s="156" t="e">
        <f>IF(R301="-","",INDEX('Inventaire M-1'!$A$2:$AG$9334,MATCH(R301,'Inventaire M-1'!$A:$A,0)-1,MATCH("quantite",'Inventaire M-1'!#REF!,0)))</f>
        <v>#REF!</v>
      </c>
      <c r="Y301" s="156" t="str">
        <f>IF(S301="-","",IF(ISERROR(INDEX('Inventaire M'!$A$2:$AD$9319,MATCH(R301,'Inventaire M'!$A:$A,0)-1,MATCH("quantite",'Inventaire M'!#REF!,0))),"Sell",INDEX('Inventaire M'!$A$2:$AD$9319,MATCH(R301,'Inventaire M'!$A:$A,0)-1,MATCH("quantite",'Inventaire M'!#REF!,0))))</f>
        <v>Sell</v>
      </c>
      <c r="Z301" s="175"/>
      <c r="AA301" s="155" t="e">
        <f>IF(R301="-","",INDEX('Inventaire M-1'!$A$2:$AG$9334,MATCH(R301,'Inventaire M-1'!$A:$A,0)-1,MATCH("poids",'Inventaire M-1'!#REF!,0)))</f>
        <v>#REF!</v>
      </c>
      <c r="AB301" s="155" t="str">
        <f>IF(R301="-","",IF(ISERROR(INDEX('Inventaire M'!$A$2:$AD$9319,MATCH(R301,'Inventaire M'!$A:$A,0)-1,MATCH("poids",'Inventaire M'!#REF!,0))),"Sell",INDEX('Inventaire M'!$A$2:$AD$9319,MATCH(R301,'Inventaire M'!$A:$A,0)-1,MATCH("poids",'Inventaire M'!#REF!,0))))</f>
        <v>Sell</v>
      </c>
      <c r="AC301" s="175"/>
      <c r="AD301" s="157" t="str">
        <f t="shared" si="33"/>
        <v>0</v>
      </c>
      <c r="AE301" s="98" t="str">
        <f t="shared" si="34"/>
        <v/>
      </c>
      <c r="AF301" s="80" t="str">
        <f t="shared" si="35"/>
        <v>ORGANON &amp; CO/ORG 2.875 30/04/2028</v>
      </c>
    </row>
    <row r="302" spans="2:32" outlineLevel="1">
      <c r="B302" s="175" t="str">
        <f>IF(OR('Inventaire M'!D80="Dispo/Liquidité Investie",'Inventaire M'!D80="Option/Future",'Inventaire M'!D80="TCN",'Inventaire M'!D80=""),"-",'Inventaire M'!A80)</f>
        <v>XS2615937187</v>
      </c>
      <c r="C302" s="175" t="str">
        <f>IF(OR('Inventaire M'!D80="Dispo/Liquidité Investie",'Inventaire M'!D80="Option/Future",'Inventaire M'!D80="TCN",'Inventaire M'!D80=""),"-",'Inventaire M'!B80)</f>
        <v>ALLWYN ENTERTAINMENT FINANCING (UK 7.25 30/04/2030</v>
      </c>
      <c r="D302" s="175"/>
      <c r="E302" s="175" t="e">
        <f>IF(B302="-","",INDEX('Inventaire M'!$A$2:$AW$9305,MATCH(B302,'Inventaire M'!$A:$A,0)-1,MATCH("Cours EUR",'Inventaire M'!#REF!,0)))</f>
        <v>#REF!</v>
      </c>
      <c r="F302" s="175" t="str">
        <f>IF(B302="-","",IF(ISERROR(INDEX('Inventaire M-1'!$A$2:$AZ$9320,MATCH(B302,'Inventaire M-1'!$A:$A,0)-1,MATCH("Cours EUR",'Inventaire M-1'!#REF!,0))),"Buy",INDEX('Inventaire M-1'!$A$2:$AZ$9320,MATCH(B302,'Inventaire M-1'!$A:$A,0)-1,MATCH("Cours EUR",'Inventaire M-1'!#REF!,0))))</f>
        <v>Buy</v>
      </c>
      <c r="G302" s="175"/>
      <c r="H302" s="156" t="e">
        <f>IF(B302="-","",INDEX('Inventaire M'!$A$2:$AW$9305,MATCH(B302,'Inventaire M'!$A:$A,0)-1,MATCH("quantite",'Inventaire M'!#REF!,0)))</f>
        <v>#REF!</v>
      </c>
      <c r="I302" s="156" t="str">
        <f>IF(C302="-","",IF(ISERROR(INDEX('Inventaire M-1'!$A$2:$AZ$9320,MATCH(B302,'Inventaire M-1'!$A:$A,0)-1,MATCH("quantite",'Inventaire M-1'!#REF!,0))),"Buy",INDEX('Inventaire M-1'!$A$2:$AZ$9320,MATCH(B302,'Inventaire M-1'!$A:$A,0)-1,MATCH("quantite",'Inventaire M-1'!#REF!,0))))</f>
        <v>Buy</v>
      </c>
      <c r="J302" s="175"/>
      <c r="K302" s="155" t="e">
        <f>IF(B302="-","",INDEX('Inventaire M'!$A$2:$AW$9305,MATCH(B302,'Inventaire M'!$A:$A,0)-1,MATCH("poids",'Inventaire M'!#REF!,0)))</f>
        <v>#REF!</v>
      </c>
      <c r="L302" s="155" t="str">
        <f>IF(B302="-","",IF(ISERROR(INDEX('Inventaire M-1'!$A$2:$AZ$9320,MATCH(B302,'Inventaire M-1'!$A:$A,0)-1,MATCH("poids",'Inventaire M-1'!#REF!,0))),"Buy",INDEX('Inventaire M-1'!$A$2:$AZ$9320,MATCH(B302,'Inventaire M-1'!$A:$A,0)-1,MATCH("poids",'Inventaire M-1'!#REF!,0))))</f>
        <v>Buy</v>
      </c>
      <c r="M302" s="175"/>
      <c r="N302" s="157" t="str">
        <f t="shared" si="30"/>
        <v>0</v>
      </c>
      <c r="O302" s="98" t="str">
        <f t="shared" si="31"/>
        <v/>
      </c>
      <c r="P302" s="80" t="str">
        <f t="shared" si="32"/>
        <v>ALLWYN ENTERTAINMENT FINANCING (UK 7.25 30/04/2030</v>
      </c>
      <c r="Q302" s="75">
        <v>2.7800000000000001E-8</v>
      </c>
      <c r="R302" s="175" t="str">
        <f>IF(OR('Inventaire M-1'!D55="Dispo/Liquidité Investie",'Inventaire M-1'!D55="Option/Future",'Inventaire M-1'!D55="TCN",'Inventaire M-1'!D55=""),"-",'Inventaire M-1'!A55)</f>
        <v>XS2335148024</v>
      </c>
      <c r="S302" s="175" t="str">
        <f>IF(OR('Inventaire M-1'!D55="Dispo/Liquidité Investie",'Inventaire M-1'!D55="Option/Future",'Inventaire M-1'!D55="TCN",'Inventaire M-1'!D55=""),"-",'Inventaire M-1'!B55)</f>
        <v>CONSTELLIUM SE (FRANCE) 3.125 15/07/2029</v>
      </c>
      <c r="T302" s="175"/>
      <c r="U302" s="175" t="e">
        <f>IF(R302="-","",INDEX('Inventaire M-1'!$A$2:$AG$9334,MATCH(R302,'Inventaire M-1'!$A:$A,0)-1,MATCH("Cours EUR",'Inventaire M-1'!#REF!,0)))</f>
        <v>#REF!</v>
      </c>
      <c r="V302" s="175" t="str">
        <f>IF(R302="-","",IF(ISERROR(INDEX('Inventaire M'!$A$2:$AD$9319,MATCH(R302,'Inventaire M'!$A:$A,0)-1,MATCH("Cours EUR",'Inventaire M'!#REF!,0))),"Sell",INDEX('Inventaire M'!$A$2:$AD$9319,MATCH(R302,'Inventaire M'!$A:$A,0)-1,MATCH("Cours EUR",'Inventaire M'!#REF!,0))))</f>
        <v>Sell</v>
      </c>
      <c r="W302" s="175"/>
      <c r="X302" s="156" t="e">
        <f>IF(R302="-","",INDEX('Inventaire M-1'!$A$2:$AG$9334,MATCH(R302,'Inventaire M-1'!$A:$A,0)-1,MATCH("quantite",'Inventaire M-1'!#REF!,0)))</f>
        <v>#REF!</v>
      </c>
      <c r="Y302" s="156" t="str">
        <f>IF(S302="-","",IF(ISERROR(INDEX('Inventaire M'!$A$2:$AD$9319,MATCH(R302,'Inventaire M'!$A:$A,0)-1,MATCH("quantite",'Inventaire M'!#REF!,0))),"Sell",INDEX('Inventaire M'!$A$2:$AD$9319,MATCH(R302,'Inventaire M'!$A:$A,0)-1,MATCH("quantite",'Inventaire M'!#REF!,0))))</f>
        <v>Sell</v>
      </c>
      <c r="Z302" s="175"/>
      <c r="AA302" s="155" t="e">
        <f>IF(R302="-","",INDEX('Inventaire M-1'!$A$2:$AG$9334,MATCH(R302,'Inventaire M-1'!$A:$A,0)-1,MATCH("poids",'Inventaire M-1'!#REF!,0)))</f>
        <v>#REF!</v>
      </c>
      <c r="AB302" s="155" t="str">
        <f>IF(R302="-","",IF(ISERROR(INDEX('Inventaire M'!$A$2:$AD$9319,MATCH(R302,'Inventaire M'!$A:$A,0)-1,MATCH("poids",'Inventaire M'!#REF!,0))),"Sell",INDEX('Inventaire M'!$A$2:$AD$9319,MATCH(R302,'Inventaire M'!$A:$A,0)-1,MATCH("poids",'Inventaire M'!#REF!,0))))</f>
        <v>Sell</v>
      </c>
      <c r="AC302" s="175"/>
      <c r="AD302" s="157" t="str">
        <f t="shared" si="33"/>
        <v>0</v>
      </c>
      <c r="AE302" s="98" t="str">
        <f t="shared" si="34"/>
        <v/>
      </c>
      <c r="AF302" s="80" t="str">
        <f t="shared" si="35"/>
        <v>CONSTELLIUM SE (FRANCE) 3.125 15/07/2029</v>
      </c>
    </row>
    <row r="303" spans="2:32" outlineLevel="1">
      <c r="B303" s="175" t="str">
        <f>IF(OR('Inventaire M'!D81="Dispo/Liquidité Investie",'Inventaire M'!D81="Option/Future",'Inventaire M'!D81="TCN",'Inventaire M'!D81=""),"-",'Inventaire M'!A81)</f>
        <v>XS2618867159</v>
      </c>
      <c r="C303" s="175" t="str">
        <f>IF(OR('Inventaire M'!D81="Dispo/Liquidité Investie",'Inventaire M'!D81="Option/Future",'Inventaire M'!D81="TCN",'Inventaire M'!D81=""),"-",'Inventaire M'!B81)</f>
        <v>CHEPLAPHARM ARZNEIMITTEL GMBH 7.5 15/05/2030</v>
      </c>
      <c r="D303" s="175"/>
      <c r="E303" s="175" t="e">
        <f>IF(B303="-","",INDEX('Inventaire M'!$A$2:$AW$9305,MATCH(B303,'Inventaire M'!$A:$A,0)-1,MATCH("Cours EUR",'Inventaire M'!#REF!,0)))</f>
        <v>#REF!</v>
      </c>
      <c r="F303" s="175" t="str">
        <f>IF(B303="-","",IF(ISERROR(INDEX('Inventaire M-1'!$A$2:$AZ$9320,MATCH(B303,'Inventaire M-1'!$A:$A,0)-1,MATCH("Cours EUR",'Inventaire M-1'!#REF!,0))),"Buy",INDEX('Inventaire M-1'!$A$2:$AZ$9320,MATCH(B303,'Inventaire M-1'!$A:$A,0)-1,MATCH("Cours EUR",'Inventaire M-1'!#REF!,0))))</f>
        <v>Buy</v>
      </c>
      <c r="G303" s="175"/>
      <c r="H303" s="156" t="e">
        <f>IF(B303="-","",INDEX('Inventaire M'!$A$2:$AW$9305,MATCH(B303,'Inventaire M'!$A:$A,0)-1,MATCH("quantite",'Inventaire M'!#REF!,0)))</f>
        <v>#REF!</v>
      </c>
      <c r="I303" s="156" t="str">
        <f>IF(C303="-","",IF(ISERROR(INDEX('Inventaire M-1'!$A$2:$AZ$9320,MATCH(B303,'Inventaire M-1'!$A:$A,0)-1,MATCH("quantite",'Inventaire M-1'!#REF!,0))),"Buy",INDEX('Inventaire M-1'!$A$2:$AZ$9320,MATCH(B303,'Inventaire M-1'!$A:$A,0)-1,MATCH("quantite",'Inventaire M-1'!#REF!,0))))</f>
        <v>Buy</v>
      </c>
      <c r="J303" s="175"/>
      <c r="K303" s="155" t="e">
        <f>IF(B303="-","",INDEX('Inventaire M'!$A$2:$AW$9305,MATCH(B303,'Inventaire M'!$A:$A,0)-1,MATCH("poids",'Inventaire M'!#REF!,0)))</f>
        <v>#REF!</v>
      </c>
      <c r="L303" s="155" t="str">
        <f>IF(B303="-","",IF(ISERROR(INDEX('Inventaire M-1'!$A$2:$AZ$9320,MATCH(B303,'Inventaire M-1'!$A:$A,0)-1,MATCH("poids",'Inventaire M-1'!#REF!,0))),"Buy",INDEX('Inventaire M-1'!$A$2:$AZ$9320,MATCH(B303,'Inventaire M-1'!$A:$A,0)-1,MATCH("poids",'Inventaire M-1'!#REF!,0))))</f>
        <v>Buy</v>
      </c>
      <c r="M303" s="175"/>
      <c r="N303" s="157" t="str">
        <f t="shared" si="30"/>
        <v>0</v>
      </c>
      <c r="O303" s="98" t="str">
        <f t="shared" si="31"/>
        <v/>
      </c>
      <c r="P303" s="80" t="str">
        <f t="shared" si="32"/>
        <v>CHEPLAPHARM ARZNEIMITTEL GMBH 7.5 15/05/2030</v>
      </c>
      <c r="Q303" s="75">
        <v>2.7899999999999998E-8</v>
      </c>
      <c r="R303" s="175" t="str">
        <f>IF(OR('Inventaire M-1'!D56="Dispo/Liquidité Investie",'Inventaire M-1'!D56="Option/Future",'Inventaire M-1'!D56="TCN",'Inventaire M-1'!D56=""),"-",'Inventaire M-1'!A56)</f>
        <v>XS2337703537</v>
      </c>
      <c r="S303" s="175" t="str">
        <f>IF(OR('Inventaire M-1'!D56="Dispo/Liquidité Investie",'Inventaire M-1'!D56="Option/Future",'Inventaire M-1'!D56="TCN",'Inventaire M-1'!D56=""),"-",'Inventaire M-1'!B56)</f>
        <v>GRUENENTHAL GMBH 4.125 15/05/2028</v>
      </c>
      <c r="T303" s="175"/>
      <c r="U303" s="175" t="e">
        <f>IF(R303="-","",INDEX('Inventaire M-1'!$A$2:$AG$9334,MATCH(R303,'Inventaire M-1'!$A:$A,0)-1,MATCH("Cours EUR",'Inventaire M-1'!#REF!,0)))</f>
        <v>#REF!</v>
      </c>
      <c r="V303" s="175" t="str">
        <f>IF(R303="-","",IF(ISERROR(INDEX('Inventaire M'!$A$2:$AD$9319,MATCH(R303,'Inventaire M'!$A:$A,0)-1,MATCH("Cours EUR",'Inventaire M'!#REF!,0))),"Sell",INDEX('Inventaire M'!$A$2:$AD$9319,MATCH(R303,'Inventaire M'!$A:$A,0)-1,MATCH("Cours EUR",'Inventaire M'!#REF!,0))))</f>
        <v>Sell</v>
      </c>
      <c r="W303" s="175"/>
      <c r="X303" s="156" t="e">
        <f>IF(R303="-","",INDEX('Inventaire M-1'!$A$2:$AG$9334,MATCH(R303,'Inventaire M-1'!$A:$A,0)-1,MATCH("quantite",'Inventaire M-1'!#REF!,0)))</f>
        <v>#REF!</v>
      </c>
      <c r="Y303" s="156" t="str">
        <f>IF(S303="-","",IF(ISERROR(INDEX('Inventaire M'!$A$2:$AD$9319,MATCH(R303,'Inventaire M'!$A:$A,0)-1,MATCH("quantite",'Inventaire M'!#REF!,0))),"Sell",INDEX('Inventaire M'!$A$2:$AD$9319,MATCH(R303,'Inventaire M'!$A:$A,0)-1,MATCH("quantite",'Inventaire M'!#REF!,0))))</f>
        <v>Sell</v>
      </c>
      <c r="Z303" s="175"/>
      <c r="AA303" s="155" t="e">
        <f>IF(R303="-","",INDEX('Inventaire M-1'!$A$2:$AG$9334,MATCH(R303,'Inventaire M-1'!$A:$A,0)-1,MATCH("poids",'Inventaire M-1'!#REF!,0)))</f>
        <v>#REF!</v>
      </c>
      <c r="AB303" s="155" t="str">
        <f>IF(R303="-","",IF(ISERROR(INDEX('Inventaire M'!$A$2:$AD$9319,MATCH(R303,'Inventaire M'!$A:$A,0)-1,MATCH("poids",'Inventaire M'!#REF!,0))),"Sell",INDEX('Inventaire M'!$A$2:$AD$9319,MATCH(R303,'Inventaire M'!$A:$A,0)-1,MATCH("poids",'Inventaire M'!#REF!,0))))</f>
        <v>Sell</v>
      </c>
      <c r="AC303" s="175"/>
      <c r="AD303" s="157" t="str">
        <f t="shared" si="33"/>
        <v>0</v>
      </c>
      <c r="AE303" s="98" t="str">
        <f t="shared" si="34"/>
        <v/>
      </c>
      <c r="AF303" s="80" t="str">
        <f t="shared" si="35"/>
        <v>GRUENENTHAL GMBH 4.125 15/05/2028</v>
      </c>
    </row>
    <row r="304" spans="2:32" outlineLevel="1">
      <c r="B304" s="175" t="str">
        <f>IF(OR('Inventaire M'!D82="Dispo/Liquidité Investie",'Inventaire M'!D82="Option/Future",'Inventaire M'!D82="TCN",'Inventaire M'!D82=""),"-",'Inventaire M'!A82)</f>
        <v>XS2621830681</v>
      </c>
      <c r="C304" s="175" t="str">
        <f>IF(OR('Inventaire M'!D82="Dispo/Liquidité Investie",'Inventaire M'!D82="Option/Future",'Inventaire M'!D82="TCN",'Inventaire M'!D82=""),"-",'Inventaire M'!B82)</f>
        <v>EMERALD DEBT MERGER SUB LLC 6.375 15/12/2030</v>
      </c>
      <c r="D304" s="175"/>
      <c r="E304" s="175" t="e">
        <f>IF(B304="-","",INDEX('Inventaire M'!$A$2:$AW$9305,MATCH(B304,'Inventaire M'!$A:$A,0)-1,MATCH("Cours EUR",'Inventaire M'!#REF!,0)))</f>
        <v>#REF!</v>
      </c>
      <c r="F304" s="175" t="str">
        <f>IF(B304="-","",IF(ISERROR(INDEX('Inventaire M-1'!$A$2:$AZ$9320,MATCH(B304,'Inventaire M-1'!$A:$A,0)-1,MATCH("Cours EUR",'Inventaire M-1'!#REF!,0))),"Buy",INDEX('Inventaire M-1'!$A$2:$AZ$9320,MATCH(B304,'Inventaire M-1'!$A:$A,0)-1,MATCH("Cours EUR",'Inventaire M-1'!#REF!,0))))</f>
        <v>Buy</v>
      </c>
      <c r="G304" s="175"/>
      <c r="H304" s="156" t="e">
        <f>IF(B304="-","",INDEX('Inventaire M'!$A$2:$AW$9305,MATCH(B304,'Inventaire M'!$A:$A,0)-1,MATCH("quantite",'Inventaire M'!#REF!,0)))</f>
        <v>#REF!</v>
      </c>
      <c r="I304" s="156" t="str">
        <f>IF(C304="-","",IF(ISERROR(INDEX('Inventaire M-1'!$A$2:$AZ$9320,MATCH(B304,'Inventaire M-1'!$A:$A,0)-1,MATCH("quantite",'Inventaire M-1'!#REF!,0))),"Buy",INDEX('Inventaire M-1'!$A$2:$AZ$9320,MATCH(B304,'Inventaire M-1'!$A:$A,0)-1,MATCH("quantite",'Inventaire M-1'!#REF!,0))))</f>
        <v>Buy</v>
      </c>
      <c r="J304" s="175"/>
      <c r="K304" s="155" t="e">
        <f>IF(B304="-","",INDEX('Inventaire M'!$A$2:$AW$9305,MATCH(B304,'Inventaire M'!$A:$A,0)-1,MATCH("poids",'Inventaire M'!#REF!,0)))</f>
        <v>#REF!</v>
      </c>
      <c r="L304" s="155" t="str">
        <f>IF(B304="-","",IF(ISERROR(INDEX('Inventaire M-1'!$A$2:$AZ$9320,MATCH(B304,'Inventaire M-1'!$A:$A,0)-1,MATCH("poids",'Inventaire M-1'!#REF!,0))),"Buy",INDEX('Inventaire M-1'!$A$2:$AZ$9320,MATCH(B304,'Inventaire M-1'!$A:$A,0)-1,MATCH("poids",'Inventaire M-1'!#REF!,0))))</f>
        <v>Buy</v>
      </c>
      <c r="M304" s="175"/>
      <c r="N304" s="157" t="str">
        <f t="shared" si="30"/>
        <v>0</v>
      </c>
      <c r="O304" s="98" t="str">
        <f t="shared" si="31"/>
        <v/>
      </c>
      <c r="P304" s="80" t="str">
        <f t="shared" si="32"/>
        <v>EMERALD DEBT MERGER SUB LLC 6.375 15/12/2030</v>
      </c>
      <c r="Q304" s="75">
        <v>2.7999999999999999E-8</v>
      </c>
      <c r="R304" s="175" t="str">
        <f>IF(OR('Inventaire M-1'!D57="Dispo/Liquidité Investie",'Inventaire M-1'!D57="Option/Future",'Inventaire M-1'!D57="TCN",'Inventaire M-1'!D57=""),"-",'Inventaire M-1'!A57)</f>
        <v>XS2342732646</v>
      </c>
      <c r="S304" s="175" t="str">
        <f>IF(OR('Inventaire M-1'!D57="Dispo/Liquidité Investie",'Inventaire M-1'!D57="Option/Future",'Inventaire M-1'!D57="TCN",'Inventaire M-1'!D57=""),"-",'Inventaire M-1'!B57)</f>
        <v>VOLKSWAGEN INTERNATIONAL FIN PNC9 PERP</v>
      </c>
      <c r="T304" s="175"/>
      <c r="U304" s="175" t="e">
        <f>IF(R304="-","",INDEX('Inventaire M-1'!$A$2:$AG$9334,MATCH(R304,'Inventaire M-1'!$A:$A,0)-1,MATCH("Cours EUR",'Inventaire M-1'!#REF!,0)))</f>
        <v>#REF!</v>
      </c>
      <c r="V304" s="175" t="str">
        <f>IF(R304="-","",IF(ISERROR(INDEX('Inventaire M'!$A$2:$AD$9319,MATCH(R304,'Inventaire M'!$A:$A,0)-1,MATCH("Cours EUR",'Inventaire M'!#REF!,0))),"Sell",INDEX('Inventaire M'!$A$2:$AD$9319,MATCH(R304,'Inventaire M'!$A:$A,0)-1,MATCH("Cours EUR",'Inventaire M'!#REF!,0))))</f>
        <v>Sell</v>
      </c>
      <c r="W304" s="175"/>
      <c r="X304" s="156" t="e">
        <f>IF(R304="-","",INDEX('Inventaire M-1'!$A$2:$AG$9334,MATCH(R304,'Inventaire M-1'!$A:$A,0)-1,MATCH("quantite",'Inventaire M-1'!#REF!,0)))</f>
        <v>#REF!</v>
      </c>
      <c r="Y304" s="156" t="str">
        <f>IF(S304="-","",IF(ISERROR(INDEX('Inventaire M'!$A$2:$AD$9319,MATCH(R304,'Inventaire M'!$A:$A,0)-1,MATCH("quantite",'Inventaire M'!#REF!,0))),"Sell",INDEX('Inventaire M'!$A$2:$AD$9319,MATCH(R304,'Inventaire M'!$A:$A,0)-1,MATCH("quantite",'Inventaire M'!#REF!,0))))</f>
        <v>Sell</v>
      </c>
      <c r="Z304" s="175"/>
      <c r="AA304" s="155" t="e">
        <f>IF(R304="-","",INDEX('Inventaire M-1'!$A$2:$AG$9334,MATCH(R304,'Inventaire M-1'!$A:$A,0)-1,MATCH("poids",'Inventaire M-1'!#REF!,0)))</f>
        <v>#REF!</v>
      </c>
      <c r="AB304" s="155" t="str">
        <f>IF(R304="-","",IF(ISERROR(INDEX('Inventaire M'!$A$2:$AD$9319,MATCH(R304,'Inventaire M'!$A:$A,0)-1,MATCH("poids",'Inventaire M'!#REF!,0))),"Sell",INDEX('Inventaire M'!$A$2:$AD$9319,MATCH(R304,'Inventaire M'!$A:$A,0)-1,MATCH("poids",'Inventaire M'!#REF!,0))))</f>
        <v>Sell</v>
      </c>
      <c r="AC304" s="175"/>
      <c r="AD304" s="157" t="str">
        <f t="shared" si="33"/>
        <v>0</v>
      </c>
      <c r="AE304" s="98" t="str">
        <f t="shared" si="34"/>
        <v/>
      </c>
      <c r="AF304" s="80" t="str">
        <f t="shared" si="35"/>
        <v>VOLKSWAGEN INTERNATIONAL FIN PNC9 PERP</v>
      </c>
    </row>
    <row r="305" spans="2:32" outlineLevel="1">
      <c r="B305" s="175" t="str">
        <f>IF(OR('Inventaire M'!D83="Dispo/Liquidité Investie",'Inventaire M'!D83="Option/Future",'Inventaire M'!D83="TCN",'Inventaire M'!D83=""),"-",'Inventaire M'!A83)</f>
        <v>XS2623604233</v>
      </c>
      <c r="C305" s="175" t="str">
        <f>IF(OR('Inventaire M'!D83="Dispo/Liquidité Investie",'Inventaire M'!D83="Option/Future",'Inventaire M'!D83="TCN",'Inventaire M'!D83=""),"-",'Inventaire M'!B83)</f>
        <v>ADLER PELZER HOLDING GMBH 9.5 01/04/2027</v>
      </c>
      <c r="D305" s="175"/>
      <c r="E305" s="175" t="e">
        <f>IF(B305="-","",INDEX('Inventaire M'!$A$2:$AW$9305,MATCH(B305,'Inventaire M'!$A:$A,0)-1,MATCH("Cours EUR",'Inventaire M'!#REF!,0)))</f>
        <v>#REF!</v>
      </c>
      <c r="F305" s="175" t="str">
        <f>IF(B305="-","",IF(ISERROR(INDEX('Inventaire M-1'!$A$2:$AZ$9320,MATCH(B305,'Inventaire M-1'!$A:$A,0)-1,MATCH("Cours EUR",'Inventaire M-1'!#REF!,0))),"Buy",INDEX('Inventaire M-1'!$A$2:$AZ$9320,MATCH(B305,'Inventaire M-1'!$A:$A,0)-1,MATCH("Cours EUR",'Inventaire M-1'!#REF!,0))))</f>
        <v>Buy</v>
      </c>
      <c r="G305" s="175"/>
      <c r="H305" s="156" t="e">
        <f>IF(B305="-","",INDEX('Inventaire M'!$A$2:$AW$9305,MATCH(B305,'Inventaire M'!$A:$A,0)-1,MATCH("quantite",'Inventaire M'!#REF!,0)))</f>
        <v>#REF!</v>
      </c>
      <c r="I305" s="156" t="str">
        <f>IF(C305="-","",IF(ISERROR(INDEX('Inventaire M-1'!$A$2:$AZ$9320,MATCH(B305,'Inventaire M-1'!$A:$A,0)-1,MATCH("quantite",'Inventaire M-1'!#REF!,0))),"Buy",INDEX('Inventaire M-1'!$A$2:$AZ$9320,MATCH(B305,'Inventaire M-1'!$A:$A,0)-1,MATCH("quantite",'Inventaire M-1'!#REF!,0))))</f>
        <v>Buy</v>
      </c>
      <c r="J305" s="175"/>
      <c r="K305" s="155" t="e">
        <f>IF(B305="-","",INDEX('Inventaire M'!$A$2:$AW$9305,MATCH(B305,'Inventaire M'!$A:$A,0)-1,MATCH("poids",'Inventaire M'!#REF!,0)))</f>
        <v>#REF!</v>
      </c>
      <c r="L305" s="155" t="str">
        <f>IF(B305="-","",IF(ISERROR(INDEX('Inventaire M-1'!$A$2:$AZ$9320,MATCH(B305,'Inventaire M-1'!$A:$A,0)-1,MATCH("poids",'Inventaire M-1'!#REF!,0))),"Buy",INDEX('Inventaire M-1'!$A$2:$AZ$9320,MATCH(B305,'Inventaire M-1'!$A:$A,0)-1,MATCH("poids",'Inventaire M-1'!#REF!,0))))</f>
        <v>Buy</v>
      </c>
      <c r="M305" s="175"/>
      <c r="N305" s="157" t="str">
        <f t="shared" si="30"/>
        <v>0</v>
      </c>
      <c r="O305" s="98" t="str">
        <f t="shared" si="31"/>
        <v/>
      </c>
      <c r="P305" s="80" t="str">
        <f t="shared" si="32"/>
        <v>ADLER PELZER HOLDING GMBH 9.5 01/04/2027</v>
      </c>
      <c r="Q305" s="75">
        <v>2.81E-8</v>
      </c>
      <c r="R305" s="175" t="str">
        <f>IF(OR('Inventaire M-1'!D58="Dispo/Liquidité Investie",'Inventaire M-1'!D58="Option/Future",'Inventaire M-1'!D58="TCN",'Inventaire M-1'!D58=""),"-",'Inventaire M-1'!A58)</f>
        <v>XS2353416386</v>
      </c>
      <c r="S305" s="175" t="str">
        <f>IF(OR('Inventaire M-1'!D58="Dispo/Liquidité Investie",'Inventaire M-1'!D58="Option/Future",'Inventaire M-1'!D58="TCN",'Inventaire M-1'!D58=""),"-",'Inventaire M-1'!B58)</f>
        <v>ENERGIZER GAMMA ACQUISITION BV 3.5 30/06/2029</v>
      </c>
      <c r="T305" s="175"/>
      <c r="U305" s="175" t="e">
        <f>IF(R305="-","",INDEX('Inventaire M-1'!$A$2:$AG$9334,MATCH(R305,'Inventaire M-1'!$A:$A,0)-1,MATCH("Cours EUR",'Inventaire M-1'!#REF!,0)))</f>
        <v>#REF!</v>
      </c>
      <c r="V305" s="175" t="str">
        <f>IF(R305="-","",IF(ISERROR(INDEX('Inventaire M'!$A$2:$AD$9319,MATCH(R305,'Inventaire M'!$A:$A,0)-1,MATCH("Cours EUR",'Inventaire M'!#REF!,0))),"Sell",INDEX('Inventaire M'!$A$2:$AD$9319,MATCH(R305,'Inventaire M'!$A:$A,0)-1,MATCH("Cours EUR",'Inventaire M'!#REF!,0))))</f>
        <v>Sell</v>
      </c>
      <c r="W305" s="175"/>
      <c r="X305" s="156" t="e">
        <f>IF(R305="-","",INDEX('Inventaire M-1'!$A$2:$AG$9334,MATCH(R305,'Inventaire M-1'!$A:$A,0)-1,MATCH("quantite",'Inventaire M-1'!#REF!,0)))</f>
        <v>#REF!</v>
      </c>
      <c r="Y305" s="156" t="str">
        <f>IF(S305="-","",IF(ISERROR(INDEX('Inventaire M'!$A$2:$AD$9319,MATCH(R305,'Inventaire M'!$A:$A,0)-1,MATCH("quantite",'Inventaire M'!#REF!,0))),"Sell",INDEX('Inventaire M'!$A$2:$AD$9319,MATCH(R305,'Inventaire M'!$A:$A,0)-1,MATCH("quantite",'Inventaire M'!#REF!,0))))</f>
        <v>Sell</v>
      </c>
      <c r="Z305" s="175"/>
      <c r="AA305" s="155" t="e">
        <f>IF(R305="-","",INDEX('Inventaire M-1'!$A$2:$AG$9334,MATCH(R305,'Inventaire M-1'!$A:$A,0)-1,MATCH("poids",'Inventaire M-1'!#REF!,0)))</f>
        <v>#REF!</v>
      </c>
      <c r="AB305" s="155" t="str">
        <f>IF(R305="-","",IF(ISERROR(INDEX('Inventaire M'!$A$2:$AD$9319,MATCH(R305,'Inventaire M'!$A:$A,0)-1,MATCH("poids",'Inventaire M'!#REF!,0))),"Sell",INDEX('Inventaire M'!$A$2:$AD$9319,MATCH(R305,'Inventaire M'!$A:$A,0)-1,MATCH("poids",'Inventaire M'!#REF!,0))))</f>
        <v>Sell</v>
      </c>
      <c r="AC305" s="175"/>
      <c r="AD305" s="157" t="str">
        <f t="shared" si="33"/>
        <v>0</v>
      </c>
      <c r="AE305" s="98" t="str">
        <f t="shared" si="34"/>
        <v/>
      </c>
      <c r="AF305" s="80" t="str">
        <f t="shared" si="35"/>
        <v>ENERGIZER GAMMA ACQUISITION BV 3.5 30/06/2029</v>
      </c>
    </row>
    <row r="306" spans="2:32" outlineLevel="1">
      <c r="B306" s="175" t="str">
        <f>IF(OR('Inventaire M'!D84="Dispo/Liquidité Investie",'Inventaire M'!D84="Option/Future",'Inventaire M'!D84="TCN",'Inventaire M'!D84=""),"-",'Inventaire M'!A84)</f>
        <v>XS2637954582</v>
      </c>
      <c r="C306" s="175" t="str">
        <f>IF(OR('Inventaire M'!D84="Dispo/Liquidité Investie",'Inventaire M'!D84="Option/Future",'Inventaire M'!D84="TCN",'Inventaire M'!D84=""),"-",'Inventaire M'!B84)</f>
        <v>TELECOM ITALIA SPA 7.875 31/07/2028</v>
      </c>
      <c r="D306" s="175"/>
      <c r="E306" s="175" t="e">
        <f>IF(B306="-","",INDEX('Inventaire M'!$A$2:$AW$9305,MATCH(B306,'Inventaire M'!$A:$A,0)-1,MATCH("Cours EUR",'Inventaire M'!#REF!,0)))</f>
        <v>#REF!</v>
      </c>
      <c r="F306" s="175" t="str">
        <f>IF(B306="-","",IF(ISERROR(INDEX('Inventaire M-1'!$A$2:$AZ$9320,MATCH(B306,'Inventaire M-1'!$A:$A,0)-1,MATCH("Cours EUR",'Inventaire M-1'!#REF!,0))),"Buy",INDEX('Inventaire M-1'!$A$2:$AZ$9320,MATCH(B306,'Inventaire M-1'!$A:$A,0)-1,MATCH("Cours EUR",'Inventaire M-1'!#REF!,0))))</f>
        <v>Buy</v>
      </c>
      <c r="G306" s="175"/>
      <c r="H306" s="156" t="e">
        <f>IF(B306="-","",INDEX('Inventaire M'!$A$2:$AW$9305,MATCH(B306,'Inventaire M'!$A:$A,0)-1,MATCH("quantite",'Inventaire M'!#REF!,0)))</f>
        <v>#REF!</v>
      </c>
      <c r="I306" s="156" t="str">
        <f>IF(C306="-","",IF(ISERROR(INDEX('Inventaire M-1'!$A$2:$AZ$9320,MATCH(B306,'Inventaire M-1'!$A:$A,0)-1,MATCH("quantite",'Inventaire M-1'!#REF!,0))),"Buy",INDEX('Inventaire M-1'!$A$2:$AZ$9320,MATCH(B306,'Inventaire M-1'!$A:$A,0)-1,MATCH("quantite",'Inventaire M-1'!#REF!,0))))</f>
        <v>Buy</v>
      </c>
      <c r="J306" s="175"/>
      <c r="K306" s="155" t="e">
        <f>IF(B306="-","",INDEX('Inventaire M'!$A$2:$AW$9305,MATCH(B306,'Inventaire M'!$A:$A,0)-1,MATCH("poids",'Inventaire M'!#REF!,0)))</f>
        <v>#REF!</v>
      </c>
      <c r="L306" s="155" t="str">
        <f>IF(B306="-","",IF(ISERROR(INDEX('Inventaire M-1'!$A$2:$AZ$9320,MATCH(B306,'Inventaire M-1'!$A:$A,0)-1,MATCH("poids",'Inventaire M-1'!#REF!,0))),"Buy",INDEX('Inventaire M-1'!$A$2:$AZ$9320,MATCH(B306,'Inventaire M-1'!$A:$A,0)-1,MATCH("poids",'Inventaire M-1'!#REF!,0))))</f>
        <v>Buy</v>
      </c>
      <c r="M306" s="175"/>
      <c r="N306" s="157" t="str">
        <f t="shared" si="30"/>
        <v>0</v>
      </c>
      <c r="O306" s="98" t="str">
        <f t="shared" si="31"/>
        <v/>
      </c>
      <c r="P306" s="80" t="str">
        <f t="shared" si="32"/>
        <v>TELECOM ITALIA SPA 7.875 31/07/2028</v>
      </c>
      <c r="Q306" s="75">
        <v>2.8200000000000001E-8</v>
      </c>
      <c r="R306" s="175" t="str">
        <f>IF(OR('Inventaire M-1'!D59="Dispo/Liquidité Investie",'Inventaire M-1'!D59="Option/Future",'Inventaire M-1'!D59="TCN",'Inventaire M-1'!D59=""),"-",'Inventaire M-1'!A59)</f>
        <v>XS2355604880</v>
      </c>
      <c r="S306" s="175" t="str">
        <f>IF(OR('Inventaire M-1'!D59="Dispo/Liquidité Investie",'Inventaire M-1'!D59="Option/Future",'Inventaire M-1'!D59="TCN",'Inventaire M-1'!D59=""),"-",'Inventaire M-1'!B59)</f>
        <v>NOMAD FOODS BONDCO PLC 2.5 24/06/2028</v>
      </c>
      <c r="T306" s="175"/>
      <c r="U306" s="175" t="e">
        <f>IF(R306="-","",INDEX('Inventaire M-1'!$A$2:$AG$9334,MATCH(R306,'Inventaire M-1'!$A:$A,0)-1,MATCH("Cours EUR",'Inventaire M-1'!#REF!,0)))</f>
        <v>#REF!</v>
      </c>
      <c r="V306" s="175" t="str">
        <f>IF(R306="-","",IF(ISERROR(INDEX('Inventaire M'!$A$2:$AD$9319,MATCH(R306,'Inventaire M'!$A:$A,0)-1,MATCH("Cours EUR",'Inventaire M'!#REF!,0))),"Sell",INDEX('Inventaire M'!$A$2:$AD$9319,MATCH(R306,'Inventaire M'!$A:$A,0)-1,MATCH("Cours EUR",'Inventaire M'!#REF!,0))))</f>
        <v>Sell</v>
      </c>
      <c r="W306" s="175"/>
      <c r="X306" s="156" t="e">
        <f>IF(R306="-","",INDEX('Inventaire M-1'!$A$2:$AG$9334,MATCH(R306,'Inventaire M-1'!$A:$A,0)-1,MATCH("quantite",'Inventaire M-1'!#REF!,0)))</f>
        <v>#REF!</v>
      </c>
      <c r="Y306" s="156" t="str">
        <f>IF(S306="-","",IF(ISERROR(INDEX('Inventaire M'!$A$2:$AD$9319,MATCH(R306,'Inventaire M'!$A:$A,0)-1,MATCH("quantite",'Inventaire M'!#REF!,0))),"Sell",INDEX('Inventaire M'!$A$2:$AD$9319,MATCH(R306,'Inventaire M'!$A:$A,0)-1,MATCH("quantite",'Inventaire M'!#REF!,0))))</f>
        <v>Sell</v>
      </c>
      <c r="Z306" s="175"/>
      <c r="AA306" s="155" t="e">
        <f>IF(R306="-","",INDEX('Inventaire M-1'!$A$2:$AG$9334,MATCH(R306,'Inventaire M-1'!$A:$A,0)-1,MATCH("poids",'Inventaire M-1'!#REF!,0)))</f>
        <v>#REF!</v>
      </c>
      <c r="AB306" s="155" t="str">
        <f>IF(R306="-","",IF(ISERROR(INDEX('Inventaire M'!$A$2:$AD$9319,MATCH(R306,'Inventaire M'!$A:$A,0)-1,MATCH("poids",'Inventaire M'!#REF!,0))),"Sell",INDEX('Inventaire M'!$A$2:$AD$9319,MATCH(R306,'Inventaire M'!$A:$A,0)-1,MATCH("poids",'Inventaire M'!#REF!,0))))</f>
        <v>Sell</v>
      </c>
      <c r="AC306" s="175"/>
      <c r="AD306" s="157" t="str">
        <f t="shared" si="33"/>
        <v>0</v>
      </c>
      <c r="AE306" s="98" t="str">
        <f t="shared" si="34"/>
        <v/>
      </c>
      <c r="AF306" s="80" t="str">
        <f t="shared" si="35"/>
        <v>NOMAD FOODS BONDCO PLC 2.5 24/06/2028</v>
      </c>
    </row>
    <row r="307" spans="2:32" outlineLevel="1">
      <c r="B307" s="175" t="str">
        <f>IF(OR('Inventaire M'!D85="Dispo/Liquidité Investie",'Inventaire M'!D85="Option/Future",'Inventaire M'!D85="TCN",'Inventaire M'!D85=""),"-",'Inventaire M'!A85)</f>
        <v>XS2641928036</v>
      </c>
      <c r="C307" s="175" t="str">
        <f>IF(OR('Inventaire M'!D85="Dispo/Liquidité Investie",'Inventaire M'!D85="Option/Future",'Inventaire M'!D85="TCN",'Inventaire M'!D85=""),"-",'Inventaire M'!B85)</f>
        <v>PLAYTECH PLC 5.875 28/06/2028</v>
      </c>
      <c r="D307" s="175"/>
      <c r="E307" s="175" t="e">
        <f>IF(B307="-","",INDEX('Inventaire M'!$A$2:$AW$9305,MATCH(B307,'Inventaire M'!$A:$A,0)-1,MATCH("Cours EUR",'Inventaire M'!#REF!,0)))</f>
        <v>#REF!</v>
      </c>
      <c r="F307" s="175" t="str">
        <f>IF(B307="-","",IF(ISERROR(INDEX('Inventaire M-1'!$A$2:$AZ$9320,MATCH(B307,'Inventaire M-1'!$A:$A,0)-1,MATCH("Cours EUR",'Inventaire M-1'!#REF!,0))),"Buy",INDEX('Inventaire M-1'!$A$2:$AZ$9320,MATCH(B307,'Inventaire M-1'!$A:$A,0)-1,MATCH("Cours EUR",'Inventaire M-1'!#REF!,0))))</f>
        <v>Buy</v>
      </c>
      <c r="G307" s="175"/>
      <c r="H307" s="156" t="e">
        <f>IF(B307="-","",INDEX('Inventaire M'!$A$2:$AW$9305,MATCH(B307,'Inventaire M'!$A:$A,0)-1,MATCH("quantite",'Inventaire M'!#REF!,0)))</f>
        <v>#REF!</v>
      </c>
      <c r="I307" s="156" t="str">
        <f>IF(C307="-","",IF(ISERROR(INDEX('Inventaire M-1'!$A$2:$AZ$9320,MATCH(B307,'Inventaire M-1'!$A:$A,0)-1,MATCH("quantite",'Inventaire M-1'!#REF!,0))),"Buy",INDEX('Inventaire M-1'!$A$2:$AZ$9320,MATCH(B307,'Inventaire M-1'!$A:$A,0)-1,MATCH("quantite",'Inventaire M-1'!#REF!,0))))</f>
        <v>Buy</v>
      </c>
      <c r="J307" s="175"/>
      <c r="K307" s="155" t="e">
        <f>IF(B307="-","",INDEX('Inventaire M'!$A$2:$AW$9305,MATCH(B307,'Inventaire M'!$A:$A,0)-1,MATCH("poids",'Inventaire M'!#REF!,0)))</f>
        <v>#REF!</v>
      </c>
      <c r="L307" s="155" t="str">
        <f>IF(B307="-","",IF(ISERROR(INDEX('Inventaire M-1'!$A$2:$AZ$9320,MATCH(B307,'Inventaire M-1'!$A:$A,0)-1,MATCH("poids",'Inventaire M-1'!#REF!,0))),"Buy",INDEX('Inventaire M-1'!$A$2:$AZ$9320,MATCH(B307,'Inventaire M-1'!$A:$A,0)-1,MATCH("poids",'Inventaire M-1'!#REF!,0))))</f>
        <v>Buy</v>
      </c>
      <c r="M307" s="175"/>
      <c r="N307" s="157" t="str">
        <f t="shared" si="30"/>
        <v>0</v>
      </c>
      <c r="O307" s="98" t="str">
        <f t="shared" si="31"/>
        <v/>
      </c>
      <c r="P307" s="80" t="str">
        <f t="shared" si="32"/>
        <v>PLAYTECH PLC 5.875 28/06/2028</v>
      </c>
      <c r="Q307" s="75">
        <v>2.8299999999999999E-8</v>
      </c>
      <c r="R307" s="175" t="str">
        <f>IF(OR('Inventaire M-1'!D60="Dispo/Liquidité Investie",'Inventaire M-1'!D60="Option/Future",'Inventaire M-1'!D60="TCN",'Inventaire M-1'!D60=""),"-",'Inventaire M-1'!A60)</f>
        <v>XS2357812556</v>
      </c>
      <c r="S307" s="175" t="str">
        <f>IF(OR('Inventaire M-1'!D60="Dispo/Liquidité Investie",'Inventaire M-1'!D60="Option/Future",'Inventaire M-1'!D60="TCN",'Inventaire M-1'!D60=""),"-",'Inventaire M-1'!B60)</f>
        <v>GUALA CLOSURES SPA 3.25 15/06/2028</v>
      </c>
      <c r="T307" s="175"/>
      <c r="U307" s="175" t="e">
        <f>IF(R307="-","",INDEX('Inventaire M-1'!$A$2:$AG$9334,MATCH(R307,'Inventaire M-1'!$A:$A,0)-1,MATCH("Cours EUR",'Inventaire M-1'!#REF!,0)))</f>
        <v>#REF!</v>
      </c>
      <c r="V307" s="175" t="str">
        <f>IF(R307="-","",IF(ISERROR(INDEX('Inventaire M'!$A$2:$AD$9319,MATCH(R307,'Inventaire M'!$A:$A,0)-1,MATCH("Cours EUR",'Inventaire M'!#REF!,0))),"Sell",INDEX('Inventaire M'!$A$2:$AD$9319,MATCH(R307,'Inventaire M'!$A:$A,0)-1,MATCH("Cours EUR",'Inventaire M'!#REF!,0))))</f>
        <v>Sell</v>
      </c>
      <c r="W307" s="175"/>
      <c r="X307" s="156" t="e">
        <f>IF(R307="-","",INDEX('Inventaire M-1'!$A$2:$AG$9334,MATCH(R307,'Inventaire M-1'!$A:$A,0)-1,MATCH("quantite",'Inventaire M-1'!#REF!,0)))</f>
        <v>#REF!</v>
      </c>
      <c r="Y307" s="156" t="str">
        <f>IF(S307="-","",IF(ISERROR(INDEX('Inventaire M'!$A$2:$AD$9319,MATCH(R307,'Inventaire M'!$A:$A,0)-1,MATCH("quantite",'Inventaire M'!#REF!,0))),"Sell",INDEX('Inventaire M'!$A$2:$AD$9319,MATCH(R307,'Inventaire M'!$A:$A,0)-1,MATCH("quantite",'Inventaire M'!#REF!,0))))</f>
        <v>Sell</v>
      </c>
      <c r="Z307" s="175"/>
      <c r="AA307" s="155" t="e">
        <f>IF(R307="-","",INDEX('Inventaire M-1'!$A$2:$AG$9334,MATCH(R307,'Inventaire M-1'!$A:$A,0)-1,MATCH("poids",'Inventaire M-1'!#REF!,0)))</f>
        <v>#REF!</v>
      </c>
      <c r="AB307" s="155" t="str">
        <f>IF(R307="-","",IF(ISERROR(INDEX('Inventaire M'!$A$2:$AD$9319,MATCH(R307,'Inventaire M'!$A:$A,0)-1,MATCH("poids",'Inventaire M'!#REF!,0))),"Sell",INDEX('Inventaire M'!$A$2:$AD$9319,MATCH(R307,'Inventaire M'!$A:$A,0)-1,MATCH("poids",'Inventaire M'!#REF!,0))))</f>
        <v>Sell</v>
      </c>
      <c r="AC307" s="175"/>
      <c r="AD307" s="157" t="str">
        <f t="shared" si="33"/>
        <v>0</v>
      </c>
      <c r="AE307" s="98" t="str">
        <f t="shared" si="34"/>
        <v/>
      </c>
      <c r="AF307" s="80" t="str">
        <f t="shared" si="35"/>
        <v>GUALA CLOSURES SPA 3.25 15/06/2028</v>
      </c>
    </row>
    <row r="308" spans="2:32" outlineLevel="1">
      <c r="B308" s="175" t="str">
        <f>IF(OR('Inventaire M'!D86="Dispo/Liquidité Investie",'Inventaire M'!D86="Option/Future",'Inventaire M'!D86="TCN",'Inventaire M'!D86=""),"-",'Inventaire M'!A86)</f>
        <v>XS2648489388</v>
      </c>
      <c r="C308" s="175" t="str">
        <f>IF(OR('Inventaire M'!D86="Dispo/Liquidité Investie",'Inventaire M'!D86="Option/Future",'Inventaire M'!D86="TCN",'Inventaire M'!D86=""),"-",'Inventaire M'!B86)</f>
        <v>AVIS BUDGET FINANCE PLC 7.25 31/07/2030</v>
      </c>
      <c r="D308" s="175"/>
      <c r="E308" s="175" t="e">
        <f>IF(B308="-","",INDEX('Inventaire M'!$A$2:$AW$9305,MATCH(B308,'Inventaire M'!$A:$A,0)-1,MATCH("Cours EUR",'Inventaire M'!#REF!,0)))</f>
        <v>#REF!</v>
      </c>
      <c r="F308" s="175" t="str">
        <f>IF(B308="-","",IF(ISERROR(INDEX('Inventaire M-1'!$A$2:$AZ$9320,MATCH(B308,'Inventaire M-1'!$A:$A,0)-1,MATCH("Cours EUR",'Inventaire M-1'!#REF!,0))),"Buy",INDEX('Inventaire M-1'!$A$2:$AZ$9320,MATCH(B308,'Inventaire M-1'!$A:$A,0)-1,MATCH("Cours EUR",'Inventaire M-1'!#REF!,0))))</f>
        <v>Buy</v>
      </c>
      <c r="G308" s="175"/>
      <c r="H308" s="156" t="e">
        <f>IF(B308="-","",INDEX('Inventaire M'!$A$2:$AW$9305,MATCH(B308,'Inventaire M'!$A:$A,0)-1,MATCH("quantite",'Inventaire M'!#REF!,0)))</f>
        <v>#REF!</v>
      </c>
      <c r="I308" s="156" t="str">
        <f>IF(C308="-","",IF(ISERROR(INDEX('Inventaire M-1'!$A$2:$AZ$9320,MATCH(B308,'Inventaire M-1'!$A:$A,0)-1,MATCH("quantite",'Inventaire M-1'!#REF!,0))),"Buy",INDEX('Inventaire M-1'!$A$2:$AZ$9320,MATCH(B308,'Inventaire M-1'!$A:$A,0)-1,MATCH("quantite",'Inventaire M-1'!#REF!,0))))</f>
        <v>Buy</v>
      </c>
      <c r="J308" s="175"/>
      <c r="K308" s="155" t="e">
        <f>IF(B308="-","",INDEX('Inventaire M'!$A$2:$AW$9305,MATCH(B308,'Inventaire M'!$A:$A,0)-1,MATCH("poids",'Inventaire M'!#REF!,0)))</f>
        <v>#REF!</v>
      </c>
      <c r="L308" s="155" t="str">
        <f>IF(B308="-","",IF(ISERROR(INDEX('Inventaire M-1'!$A$2:$AZ$9320,MATCH(B308,'Inventaire M-1'!$A:$A,0)-1,MATCH("poids",'Inventaire M-1'!#REF!,0))),"Buy",INDEX('Inventaire M-1'!$A$2:$AZ$9320,MATCH(B308,'Inventaire M-1'!$A:$A,0)-1,MATCH("poids",'Inventaire M-1'!#REF!,0))))</f>
        <v>Buy</v>
      </c>
      <c r="M308" s="175"/>
      <c r="N308" s="157" t="str">
        <f t="shared" si="30"/>
        <v>0</v>
      </c>
      <c r="O308" s="98" t="str">
        <f t="shared" si="31"/>
        <v/>
      </c>
      <c r="P308" s="80" t="str">
        <f t="shared" si="32"/>
        <v>AVIS BUDGET FINANCE PLC 7.25 31/07/2030</v>
      </c>
      <c r="Q308" s="75">
        <v>2.84E-8</v>
      </c>
      <c r="R308" s="175" t="str">
        <f>IF(OR('Inventaire M-1'!D61="Dispo/Liquidité Investie",'Inventaire M-1'!D61="Option/Future",'Inventaire M-1'!D61="TCN",'Inventaire M-1'!D61=""),"-",'Inventaire M-1'!A61)</f>
        <v>XS2380124227</v>
      </c>
      <c r="S308" s="175" t="str">
        <f>IF(OR('Inventaire M-1'!D61="Dispo/Liquidité Investie",'Inventaire M-1'!D61="Option/Future",'Inventaire M-1'!D61="TCN",'Inventaire M-1'!D61=""),"-",'Inventaire M-1'!B61)</f>
        <v>CASTELLUM AB PERP</v>
      </c>
      <c r="T308" s="175"/>
      <c r="U308" s="175" t="e">
        <f>IF(R308="-","",INDEX('Inventaire M-1'!$A$2:$AG$9334,MATCH(R308,'Inventaire M-1'!$A:$A,0)-1,MATCH("Cours EUR",'Inventaire M-1'!#REF!,0)))</f>
        <v>#REF!</v>
      </c>
      <c r="V308" s="175" t="str">
        <f>IF(R308="-","",IF(ISERROR(INDEX('Inventaire M'!$A$2:$AD$9319,MATCH(R308,'Inventaire M'!$A:$A,0)-1,MATCH("Cours EUR",'Inventaire M'!#REF!,0))),"Sell",INDEX('Inventaire M'!$A$2:$AD$9319,MATCH(R308,'Inventaire M'!$A:$A,0)-1,MATCH("Cours EUR",'Inventaire M'!#REF!,0))))</f>
        <v>Sell</v>
      </c>
      <c r="W308" s="175"/>
      <c r="X308" s="156" t="e">
        <f>IF(R308="-","",INDEX('Inventaire M-1'!$A$2:$AG$9334,MATCH(R308,'Inventaire M-1'!$A:$A,0)-1,MATCH("quantite",'Inventaire M-1'!#REF!,0)))</f>
        <v>#REF!</v>
      </c>
      <c r="Y308" s="156" t="str">
        <f>IF(S308="-","",IF(ISERROR(INDEX('Inventaire M'!$A$2:$AD$9319,MATCH(R308,'Inventaire M'!$A:$A,0)-1,MATCH("quantite",'Inventaire M'!#REF!,0))),"Sell",INDEX('Inventaire M'!$A$2:$AD$9319,MATCH(R308,'Inventaire M'!$A:$A,0)-1,MATCH("quantite",'Inventaire M'!#REF!,0))))</f>
        <v>Sell</v>
      </c>
      <c r="Z308" s="175"/>
      <c r="AA308" s="155" t="e">
        <f>IF(R308="-","",INDEX('Inventaire M-1'!$A$2:$AG$9334,MATCH(R308,'Inventaire M-1'!$A:$A,0)-1,MATCH("poids",'Inventaire M-1'!#REF!,0)))</f>
        <v>#REF!</v>
      </c>
      <c r="AB308" s="155" t="str">
        <f>IF(R308="-","",IF(ISERROR(INDEX('Inventaire M'!$A$2:$AD$9319,MATCH(R308,'Inventaire M'!$A:$A,0)-1,MATCH("poids",'Inventaire M'!#REF!,0))),"Sell",INDEX('Inventaire M'!$A$2:$AD$9319,MATCH(R308,'Inventaire M'!$A:$A,0)-1,MATCH("poids",'Inventaire M'!#REF!,0))))</f>
        <v>Sell</v>
      </c>
      <c r="AC308" s="175"/>
      <c r="AD308" s="157" t="str">
        <f t="shared" si="33"/>
        <v>0</v>
      </c>
      <c r="AE308" s="98" t="str">
        <f t="shared" si="34"/>
        <v/>
      </c>
      <c r="AF308" s="80" t="str">
        <f t="shared" si="35"/>
        <v>CASTELLUM AB PERP</v>
      </c>
    </row>
    <row r="309" spans="2:32" outlineLevel="1">
      <c r="B309" s="175" t="str">
        <f>IF(OR('Inventaire M'!D87="Dispo/Liquidité Investie",'Inventaire M'!D87="Option/Future",'Inventaire M'!D87="TCN",'Inventaire M'!D87=""),"-",'Inventaire M'!A87)</f>
        <v>XS2688529135</v>
      </c>
      <c r="C309" s="175" t="str">
        <f>IF(OR('Inventaire M'!D87="Dispo/Liquidité Investie",'Inventaire M'!D87="Option/Future",'Inventaire M'!D87="TCN",'Inventaire M'!D87=""),"-",'Inventaire M'!B87)</f>
        <v>COTY INC 5.75 15/09/2028</v>
      </c>
      <c r="D309" s="175"/>
      <c r="E309" s="175" t="e">
        <f>IF(B309="-","",INDEX('Inventaire M'!$A$2:$AW$9305,MATCH(B309,'Inventaire M'!$A:$A,0)-1,MATCH("Cours EUR",'Inventaire M'!#REF!,0)))</f>
        <v>#REF!</v>
      </c>
      <c r="F309" s="175" t="str">
        <f>IF(B309="-","",IF(ISERROR(INDEX('Inventaire M-1'!$A$2:$AZ$9320,MATCH(B309,'Inventaire M-1'!$A:$A,0)-1,MATCH("Cours EUR",'Inventaire M-1'!#REF!,0))),"Buy",INDEX('Inventaire M-1'!$A$2:$AZ$9320,MATCH(B309,'Inventaire M-1'!$A:$A,0)-1,MATCH("Cours EUR",'Inventaire M-1'!#REF!,0))))</f>
        <v>Buy</v>
      </c>
      <c r="G309" s="175"/>
      <c r="H309" s="156" t="e">
        <f>IF(B309="-","",INDEX('Inventaire M'!$A$2:$AW$9305,MATCH(B309,'Inventaire M'!$A:$A,0)-1,MATCH("quantite",'Inventaire M'!#REF!,0)))</f>
        <v>#REF!</v>
      </c>
      <c r="I309" s="156" t="str">
        <f>IF(C309="-","",IF(ISERROR(INDEX('Inventaire M-1'!$A$2:$AZ$9320,MATCH(B309,'Inventaire M-1'!$A:$A,0)-1,MATCH("quantite",'Inventaire M-1'!#REF!,0))),"Buy",INDEX('Inventaire M-1'!$A$2:$AZ$9320,MATCH(B309,'Inventaire M-1'!$A:$A,0)-1,MATCH("quantite",'Inventaire M-1'!#REF!,0))))</f>
        <v>Buy</v>
      </c>
      <c r="J309" s="175"/>
      <c r="K309" s="155" t="e">
        <f>IF(B309="-","",INDEX('Inventaire M'!$A$2:$AW$9305,MATCH(B309,'Inventaire M'!$A:$A,0)-1,MATCH("poids",'Inventaire M'!#REF!,0)))</f>
        <v>#REF!</v>
      </c>
      <c r="L309" s="155" t="str">
        <f>IF(B309="-","",IF(ISERROR(INDEX('Inventaire M-1'!$A$2:$AZ$9320,MATCH(B309,'Inventaire M-1'!$A:$A,0)-1,MATCH("poids",'Inventaire M-1'!#REF!,0))),"Buy",INDEX('Inventaire M-1'!$A$2:$AZ$9320,MATCH(B309,'Inventaire M-1'!$A:$A,0)-1,MATCH("poids",'Inventaire M-1'!#REF!,0))))</f>
        <v>Buy</v>
      </c>
      <c r="M309" s="175"/>
      <c r="N309" s="157" t="str">
        <f t="shared" si="30"/>
        <v>0</v>
      </c>
      <c r="O309" s="98" t="str">
        <f t="shared" si="31"/>
        <v/>
      </c>
      <c r="P309" s="80" t="str">
        <f t="shared" si="32"/>
        <v>COTY INC 5.75 15/09/2028</v>
      </c>
      <c r="Q309" s="75">
        <v>2.85E-8</v>
      </c>
      <c r="R309" s="175" t="str">
        <f>IF(OR('Inventaire M-1'!D62="Dispo/Liquidité Investie",'Inventaire M-1'!D62="Option/Future",'Inventaire M-1'!D62="TCN",'Inventaire M-1'!D62=""),"-",'Inventaire M-1'!A62)</f>
        <v>XS2388141892</v>
      </c>
      <c r="S309" s="175" t="str">
        <f>IF(OR('Inventaire M-1'!D62="Dispo/Liquidité Investie",'Inventaire M-1'!D62="Option/Future",'Inventaire M-1'!D62="TCN",'Inventaire M-1'!D62=""),"-",'Inventaire M-1'!B62)</f>
        <v>ADECCO INTERNATIONAL FINANCIAL SER 21/03/2082</v>
      </c>
      <c r="T309" s="175"/>
      <c r="U309" s="175" t="e">
        <f>IF(R309="-","",INDEX('Inventaire M-1'!$A$2:$AG$9334,MATCH(R309,'Inventaire M-1'!$A:$A,0)-1,MATCH("Cours EUR",'Inventaire M-1'!#REF!,0)))</f>
        <v>#REF!</v>
      </c>
      <c r="V309" s="175" t="str">
        <f>IF(R309="-","",IF(ISERROR(INDEX('Inventaire M'!$A$2:$AD$9319,MATCH(R309,'Inventaire M'!$A:$A,0)-1,MATCH("Cours EUR",'Inventaire M'!#REF!,0))),"Sell",INDEX('Inventaire M'!$A$2:$AD$9319,MATCH(R309,'Inventaire M'!$A:$A,0)-1,MATCH("Cours EUR",'Inventaire M'!#REF!,0))))</f>
        <v>Sell</v>
      </c>
      <c r="W309" s="175"/>
      <c r="X309" s="156" t="e">
        <f>IF(R309="-","",INDEX('Inventaire M-1'!$A$2:$AG$9334,MATCH(R309,'Inventaire M-1'!$A:$A,0)-1,MATCH("quantite",'Inventaire M-1'!#REF!,0)))</f>
        <v>#REF!</v>
      </c>
      <c r="Y309" s="156" t="str">
        <f>IF(S309="-","",IF(ISERROR(INDEX('Inventaire M'!$A$2:$AD$9319,MATCH(R309,'Inventaire M'!$A:$A,0)-1,MATCH("quantite",'Inventaire M'!#REF!,0))),"Sell",INDEX('Inventaire M'!$A$2:$AD$9319,MATCH(R309,'Inventaire M'!$A:$A,0)-1,MATCH("quantite",'Inventaire M'!#REF!,0))))</f>
        <v>Sell</v>
      </c>
      <c r="Z309" s="175"/>
      <c r="AA309" s="155" t="e">
        <f>IF(R309="-","",INDEX('Inventaire M-1'!$A$2:$AG$9334,MATCH(R309,'Inventaire M-1'!$A:$A,0)-1,MATCH("poids",'Inventaire M-1'!#REF!,0)))</f>
        <v>#REF!</v>
      </c>
      <c r="AB309" s="155" t="str">
        <f>IF(R309="-","",IF(ISERROR(INDEX('Inventaire M'!$A$2:$AD$9319,MATCH(R309,'Inventaire M'!$A:$A,0)-1,MATCH("poids",'Inventaire M'!#REF!,0))),"Sell",INDEX('Inventaire M'!$A$2:$AD$9319,MATCH(R309,'Inventaire M'!$A:$A,0)-1,MATCH("poids",'Inventaire M'!#REF!,0))))</f>
        <v>Sell</v>
      </c>
      <c r="AC309" s="175"/>
      <c r="AD309" s="157" t="str">
        <f t="shared" si="33"/>
        <v>0</v>
      </c>
      <c r="AE309" s="98" t="str">
        <f t="shared" si="34"/>
        <v/>
      </c>
      <c r="AF309" s="80" t="str">
        <f t="shared" si="35"/>
        <v>ADECCO INTERNATIONAL FINANCIAL SER 21/03/2082</v>
      </c>
    </row>
    <row r="310" spans="2:32" outlineLevel="1">
      <c r="B310" s="175" t="str">
        <f>IF(OR('Inventaire M'!D88="Dispo/Liquidité Investie",'Inventaire M'!D88="Option/Future",'Inventaire M'!D88="TCN",'Inventaire M'!D88=""),"-",'Inventaire M'!A88)</f>
        <v>XS2696090286</v>
      </c>
      <c r="C310" s="175" t="str">
        <f>IF(OR('Inventaire M'!D88="Dispo/Liquidité Investie",'Inventaire M'!D88="Option/Future",'Inventaire M'!D88="TCN",'Inventaire M'!D88=""),"-",'Inventaire M'!B88)</f>
        <v>PINNACLE BIDCO PLC 8.25 11/10/2028</v>
      </c>
      <c r="D310" s="175"/>
      <c r="E310" s="175" t="e">
        <f>IF(B310="-","",INDEX('Inventaire M'!$A$2:$AW$9305,MATCH(B310,'Inventaire M'!$A:$A,0)-1,MATCH("Cours EUR",'Inventaire M'!#REF!,0)))</f>
        <v>#REF!</v>
      </c>
      <c r="F310" s="175" t="str">
        <f>IF(B310="-","",IF(ISERROR(INDEX('Inventaire M-1'!$A$2:$AZ$9320,MATCH(B310,'Inventaire M-1'!$A:$A,0)-1,MATCH("Cours EUR",'Inventaire M-1'!#REF!,0))),"Buy",INDEX('Inventaire M-1'!$A$2:$AZ$9320,MATCH(B310,'Inventaire M-1'!$A:$A,0)-1,MATCH("Cours EUR",'Inventaire M-1'!#REF!,0))))</f>
        <v>Buy</v>
      </c>
      <c r="G310" s="175"/>
      <c r="H310" s="156" t="e">
        <f>IF(B310="-","",INDEX('Inventaire M'!$A$2:$AW$9305,MATCH(B310,'Inventaire M'!$A:$A,0)-1,MATCH("quantite",'Inventaire M'!#REF!,0)))</f>
        <v>#REF!</v>
      </c>
      <c r="I310" s="156" t="str">
        <f>IF(C310="-","",IF(ISERROR(INDEX('Inventaire M-1'!$A$2:$AZ$9320,MATCH(B310,'Inventaire M-1'!$A:$A,0)-1,MATCH("quantite",'Inventaire M-1'!#REF!,0))),"Buy",INDEX('Inventaire M-1'!$A$2:$AZ$9320,MATCH(B310,'Inventaire M-1'!$A:$A,0)-1,MATCH("quantite",'Inventaire M-1'!#REF!,0))))</f>
        <v>Buy</v>
      </c>
      <c r="J310" s="175"/>
      <c r="K310" s="155" t="e">
        <f>IF(B310="-","",INDEX('Inventaire M'!$A$2:$AW$9305,MATCH(B310,'Inventaire M'!$A:$A,0)-1,MATCH("poids",'Inventaire M'!#REF!,0)))</f>
        <v>#REF!</v>
      </c>
      <c r="L310" s="155" t="str">
        <f>IF(B310="-","",IF(ISERROR(INDEX('Inventaire M-1'!$A$2:$AZ$9320,MATCH(B310,'Inventaire M-1'!$A:$A,0)-1,MATCH("poids",'Inventaire M-1'!#REF!,0))),"Buy",INDEX('Inventaire M-1'!$A$2:$AZ$9320,MATCH(B310,'Inventaire M-1'!$A:$A,0)-1,MATCH("poids",'Inventaire M-1'!#REF!,0))))</f>
        <v>Buy</v>
      </c>
      <c r="M310" s="175"/>
      <c r="N310" s="157" t="str">
        <f t="shared" si="30"/>
        <v>0</v>
      </c>
      <c r="O310" s="98" t="str">
        <f t="shared" si="31"/>
        <v/>
      </c>
      <c r="P310" s="80" t="str">
        <f t="shared" si="32"/>
        <v>PINNACLE BIDCO PLC 8.25 11/10/2028</v>
      </c>
      <c r="Q310" s="75">
        <v>2.8600000000000001E-8</v>
      </c>
      <c r="R310" s="175" t="str">
        <f>IF(OR('Inventaire M-1'!D63="Dispo/Liquidité Investie",'Inventaire M-1'!D63="Option/Future",'Inventaire M-1'!D63="TCN",'Inventaire M-1'!D63=""),"-",'Inventaire M-1'!A63)</f>
        <v>XS2388186996</v>
      </c>
      <c r="S310" s="175" t="str">
        <f>IF(OR('Inventaire M-1'!D63="Dispo/Liquidité Investie",'Inventaire M-1'!D63="Option/Future",'Inventaire M-1'!D63="TCN",'Inventaire M-1'!D63=""),"-",'Inventaire M-1'!B63)</f>
        <v>CIRSA FINANCE INTERNATIONAL SARL 4.5 15/03/2027</v>
      </c>
      <c r="T310" s="175"/>
      <c r="U310" s="175" t="e">
        <f>IF(R310="-","",INDEX('Inventaire M-1'!$A$2:$AG$9334,MATCH(R310,'Inventaire M-1'!$A:$A,0)-1,MATCH("Cours EUR",'Inventaire M-1'!#REF!,0)))</f>
        <v>#REF!</v>
      </c>
      <c r="V310" s="175" t="str">
        <f>IF(R310="-","",IF(ISERROR(INDEX('Inventaire M'!$A$2:$AD$9319,MATCH(R310,'Inventaire M'!$A:$A,0)-1,MATCH("Cours EUR",'Inventaire M'!#REF!,0))),"Sell",INDEX('Inventaire M'!$A$2:$AD$9319,MATCH(R310,'Inventaire M'!$A:$A,0)-1,MATCH("Cours EUR",'Inventaire M'!#REF!,0))))</f>
        <v>Sell</v>
      </c>
      <c r="W310" s="175"/>
      <c r="X310" s="156" t="e">
        <f>IF(R310="-","",INDEX('Inventaire M-1'!$A$2:$AG$9334,MATCH(R310,'Inventaire M-1'!$A:$A,0)-1,MATCH("quantite",'Inventaire M-1'!#REF!,0)))</f>
        <v>#REF!</v>
      </c>
      <c r="Y310" s="156" t="str">
        <f>IF(S310="-","",IF(ISERROR(INDEX('Inventaire M'!$A$2:$AD$9319,MATCH(R310,'Inventaire M'!$A:$A,0)-1,MATCH("quantite",'Inventaire M'!#REF!,0))),"Sell",INDEX('Inventaire M'!$A$2:$AD$9319,MATCH(R310,'Inventaire M'!$A:$A,0)-1,MATCH("quantite",'Inventaire M'!#REF!,0))))</f>
        <v>Sell</v>
      </c>
      <c r="Z310" s="175"/>
      <c r="AA310" s="155" t="e">
        <f>IF(R310="-","",INDEX('Inventaire M-1'!$A$2:$AG$9334,MATCH(R310,'Inventaire M-1'!$A:$A,0)-1,MATCH("poids",'Inventaire M-1'!#REF!,0)))</f>
        <v>#REF!</v>
      </c>
      <c r="AB310" s="155" t="str">
        <f>IF(R310="-","",IF(ISERROR(INDEX('Inventaire M'!$A$2:$AD$9319,MATCH(R310,'Inventaire M'!$A:$A,0)-1,MATCH("poids",'Inventaire M'!#REF!,0))),"Sell",INDEX('Inventaire M'!$A$2:$AD$9319,MATCH(R310,'Inventaire M'!$A:$A,0)-1,MATCH("poids",'Inventaire M'!#REF!,0))))</f>
        <v>Sell</v>
      </c>
      <c r="AC310" s="175"/>
      <c r="AD310" s="157" t="str">
        <f t="shared" si="33"/>
        <v>0</v>
      </c>
      <c r="AE310" s="98" t="str">
        <f t="shared" si="34"/>
        <v/>
      </c>
      <c r="AF310" s="80" t="str">
        <f t="shared" si="35"/>
        <v>CIRSA FINANCE INTERNATIONAL SARL 4.5 15/03/2027</v>
      </c>
    </row>
    <row r="311" spans="2:32" outlineLevel="1">
      <c r="B311" s="175" t="str">
        <f>IF(OR('Inventaire M'!D89="Dispo/Liquidité Investie",'Inventaire M'!D89="Option/Future",'Inventaire M'!D89="TCN",'Inventaire M'!D89=""),"-",'Inventaire M'!A89)</f>
        <v>XS2711801287</v>
      </c>
      <c r="C311" s="175" t="str">
        <f>IF(OR('Inventaire M'!D89="Dispo/Liquidité Investie",'Inventaire M'!D89="Option/Future",'Inventaire M'!D89="TCN",'Inventaire M'!D89=""),"-",'Inventaire M'!B89)</f>
        <v>APA INFRASTRUCTURE LTD 09/11/2083</v>
      </c>
      <c r="D311" s="175"/>
      <c r="E311" s="175" t="e">
        <f>IF(B311="-","",INDEX('Inventaire M'!$A$2:$AW$9305,MATCH(B311,'Inventaire M'!$A:$A,0)-1,MATCH("Cours EUR",'Inventaire M'!#REF!,0)))</f>
        <v>#REF!</v>
      </c>
      <c r="F311" s="175" t="str">
        <f>IF(B311="-","",IF(ISERROR(INDEX('Inventaire M-1'!$A$2:$AZ$9320,MATCH(B311,'Inventaire M-1'!$A:$A,0)-1,MATCH("Cours EUR",'Inventaire M-1'!#REF!,0))),"Buy",INDEX('Inventaire M-1'!$A$2:$AZ$9320,MATCH(B311,'Inventaire M-1'!$A:$A,0)-1,MATCH("Cours EUR",'Inventaire M-1'!#REF!,0))))</f>
        <v>Buy</v>
      </c>
      <c r="G311" s="175"/>
      <c r="H311" s="156" t="e">
        <f>IF(B311="-","",INDEX('Inventaire M'!$A$2:$AW$9305,MATCH(B311,'Inventaire M'!$A:$A,0)-1,MATCH("quantite",'Inventaire M'!#REF!,0)))</f>
        <v>#REF!</v>
      </c>
      <c r="I311" s="156" t="str">
        <f>IF(C311="-","",IF(ISERROR(INDEX('Inventaire M-1'!$A$2:$AZ$9320,MATCH(B311,'Inventaire M-1'!$A:$A,0)-1,MATCH("quantite",'Inventaire M-1'!#REF!,0))),"Buy",INDEX('Inventaire M-1'!$A$2:$AZ$9320,MATCH(B311,'Inventaire M-1'!$A:$A,0)-1,MATCH("quantite",'Inventaire M-1'!#REF!,0))))</f>
        <v>Buy</v>
      </c>
      <c r="J311" s="175"/>
      <c r="K311" s="155" t="e">
        <f>IF(B311="-","",INDEX('Inventaire M'!$A$2:$AW$9305,MATCH(B311,'Inventaire M'!$A:$A,0)-1,MATCH("poids",'Inventaire M'!#REF!,0)))</f>
        <v>#REF!</v>
      </c>
      <c r="L311" s="155" t="str">
        <f>IF(B311="-","",IF(ISERROR(INDEX('Inventaire M-1'!$A$2:$AZ$9320,MATCH(B311,'Inventaire M-1'!$A:$A,0)-1,MATCH("poids",'Inventaire M-1'!#REF!,0))),"Buy",INDEX('Inventaire M-1'!$A$2:$AZ$9320,MATCH(B311,'Inventaire M-1'!$A:$A,0)-1,MATCH("poids",'Inventaire M-1'!#REF!,0))))</f>
        <v>Buy</v>
      </c>
      <c r="M311" s="175"/>
      <c r="N311" s="157" t="str">
        <f t="shared" si="30"/>
        <v>0</v>
      </c>
      <c r="O311" s="98" t="str">
        <f t="shared" si="31"/>
        <v/>
      </c>
      <c r="P311" s="80" t="str">
        <f t="shared" si="32"/>
        <v>APA INFRASTRUCTURE LTD 09/11/2083</v>
      </c>
      <c r="Q311" s="75">
        <v>2.8699999999999999E-8</v>
      </c>
      <c r="R311" s="175" t="str">
        <f>IF(OR('Inventaire M-1'!D64="Dispo/Liquidité Investie",'Inventaire M-1'!D64="Option/Future",'Inventaire M-1'!D64="TCN",'Inventaire M-1'!D64=""),"-",'Inventaire M-1'!A64)</f>
        <v>XS2389984175</v>
      </c>
      <c r="S311" s="175" t="str">
        <f>IF(OR('Inventaire M-1'!D64="Dispo/Liquidité Investie",'Inventaire M-1'!D64="Option/Future",'Inventaire M-1'!D64="TCN",'Inventaire M-1'!D64=""),"-",'Inventaire M-1'!B64)</f>
        <v>EC FINANCE PLC 3 15/10/2026</v>
      </c>
      <c r="T311" s="175"/>
      <c r="U311" s="175" t="e">
        <f>IF(R311="-","",INDEX('Inventaire M-1'!$A$2:$AG$9334,MATCH(R311,'Inventaire M-1'!$A:$A,0)-1,MATCH("Cours EUR",'Inventaire M-1'!#REF!,0)))</f>
        <v>#REF!</v>
      </c>
      <c r="V311" s="175" t="str">
        <f>IF(R311="-","",IF(ISERROR(INDEX('Inventaire M'!$A$2:$AD$9319,MATCH(R311,'Inventaire M'!$A:$A,0)-1,MATCH("Cours EUR",'Inventaire M'!#REF!,0))),"Sell",INDEX('Inventaire M'!$A$2:$AD$9319,MATCH(R311,'Inventaire M'!$A:$A,0)-1,MATCH("Cours EUR",'Inventaire M'!#REF!,0))))</f>
        <v>Sell</v>
      </c>
      <c r="W311" s="175"/>
      <c r="X311" s="156" t="e">
        <f>IF(R311="-","",INDEX('Inventaire M-1'!$A$2:$AG$9334,MATCH(R311,'Inventaire M-1'!$A:$A,0)-1,MATCH("quantite",'Inventaire M-1'!#REF!,0)))</f>
        <v>#REF!</v>
      </c>
      <c r="Y311" s="156" t="str">
        <f>IF(S311="-","",IF(ISERROR(INDEX('Inventaire M'!$A$2:$AD$9319,MATCH(R311,'Inventaire M'!$A:$A,0)-1,MATCH("quantite",'Inventaire M'!#REF!,0))),"Sell",INDEX('Inventaire M'!$A$2:$AD$9319,MATCH(R311,'Inventaire M'!$A:$A,0)-1,MATCH("quantite",'Inventaire M'!#REF!,0))))</f>
        <v>Sell</v>
      </c>
      <c r="Z311" s="175"/>
      <c r="AA311" s="155" t="e">
        <f>IF(R311="-","",INDEX('Inventaire M-1'!$A$2:$AG$9334,MATCH(R311,'Inventaire M-1'!$A:$A,0)-1,MATCH("poids",'Inventaire M-1'!#REF!,0)))</f>
        <v>#REF!</v>
      </c>
      <c r="AB311" s="155" t="str">
        <f>IF(R311="-","",IF(ISERROR(INDEX('Inventaire M'!$A$2:$AD$9319,MATCH(R311,'Inventaire M'!$A:$A,0)-1,MATCH("poids",'Inventaire M'!#REF!,0))),"Sell",INDEX('Inventaire M'!$A$2:$AD$9319,MATCH(R311,'Inventaire M'!$A:$A,0)-1,MATCH("poids",'Inventaire M'!#REF!,0))))</f>
        <v>Sell</v>
      </c>
      <c r="AC311" s="175"/>
      <c r="AD311" s="157" t="str">
        <f t="shared" si="33"/>
        <v>0</v>
      </c>
      <c r="AE311" s="98" t="str">
        <f t="shared" si="34"/>
        <v/>
      </c>
      <c r="AF311" s="80" t="str">
        <f t="shared" si="35"/>
        <v>EC FINANCE PLC 3 15/10/2026</v>
      </c>
    </row>
    <row r="312" spans="2:32" outlineLevel="1">
      <c r="B312" s="175" t="str">
        <f>IF(OR('Inventaire M'!D90="Dispo/Liquidité Investie",'Inventaire M'!D90="Option/Future",'Inventaire M'!D90="TCN",'Inventaire M'!D90=""),"-",'Inventaire M'!A90)</f>
        <v>XS2719998952</v>
      </c>
      <c r="C312" s="175" t="str">
        <f>IF(OR('Inventaire M'!D90="Dispo/Liquidité Investie",'Inventaire M'!D90="Option/Future",'Inventaire M'!D90="TCN",'Inventaire M'!D90=""),"-",'Inventaire M'!B90)</f>
        <v>EG GLOBAL FINANCE PLC 11 30/11/2028</v>
      </c>
      <c r="D312" s="175"/>
      <c r="E312" s="175" t="e">
        <f>IF(B312="-","",INDEX('Inventaire M'!$A$2:$AW$9305,MATCH(B312,'Inventaire M'!$A:$A,0)-1,MATCH("Cours EUR",'Inventaire M'!#REF!,0)))</f>
        <v>#REF!</v>
      </c>
      <c r="F312" s="175" t="str">
        <f>IF(B312="-","",IF(ISERROR(INDEX('Inventaire M-1'!$A$2:$AZ$9320,MATCH(B312,'Inventaire M-1'!$A:$A,0)-1,MATCH("Cours EUR",'Inventaire M-1'!#REF!,0))),"Buy",INDEX('Inventaire M-1'!$A$2:$AZ$9320,MATCH(B312,'Inventaire M-1'!$A:$A,0)-1,MATCH("Cours EUR",'Inventaire M-1'!#REF!,0))))</f>
        <v>Buy</v>
      </c>
      <c r="G312" s="175"/>
      <c r="H312" s="156" t="e">
        <f>IF(B312="-","",INDEX('Inventaire M'!$A$2:$AW$9305,MATCH(B312,'Inventaire M'!$A:$A,0)-1,MATCH("quantite",'Inventaire M'!#REF!,0)))</f>
        <v>#REF!</v>
      </c>
      <c r="I312" s="156" t="str">
        <f>IF(C312="-","",IF(ISERROR(INDEX('Inventaire M-1'!$A$2:$AZ$9320,MATCH(B312,'Inventaire M-1'!$A:$A,0)-1,MATCH("quantite",'Inventaire M-1'!#REF!,0))),"Buy",INDEX('Inventaire M-1'!$A$2:$AZ$9320,MATCH(B312,'Inventaire M-1'!$A:$A,0)-1,MATCH("quantite",'Inventaire M-1'!#REF!,0))))</f>
        <v>Buy</v>
      </c>
      <c r="J312" s="175"/>
      <c r="K312" s="155" t="e">
        <f>IF(B312="-","",INDEX('Inventaire M'!$A$2:$AW$9305,MATCH(B312,'Inventaire M'!$A:$A,0)-1,MATCH("poids",'Inventaire M'!#REF!,0)))</f>
        <v>#REF!</v>
      </c>
      <c r="L312" s="155" t="str">
        <f>IF(B312="-","",IF(ISERROR(INDEX('Inventaire M-1'!$A$2:$AZ$9320,MATCH(B312,'Inventaire M-1'!$A:$A,0)-1,MATCH("poids",'Inventaire M-1'!#REF!,0))),"Buy",INDEX('Inventaire M-1'!$A$2:$AZ$9320,MATCH(B312,'Inventaire M-1'!$A:$A,0)-1,MATCH("poids",'Inventaire M-1'!#REF!,0))))</f>
        <v>Buy</v>
      </c>
      <c r="M312" s="175"/>
      <c r="N312" s="157" t="str">
        <f t="shared" si="30"/>
        <v>0</v>
      </c>
      <c r="O312" s="98" t="str">
        <f t="shared" si="31"/>
        <v/>
      </c>
      <c r="P312" s="80" t="str">
        <f t="shared" si="32"/>
        <v>EG GLOBAL FINANCE PLC 11 30/11/2028</v>
      </c>
      <c r="Q312" s="75">
        <v>2.88E-8</v>
      </c>
      <c r="R312" s="175" t="str">
        <f>IF(OR('Inventaire M-1'!D65="Dispo/Liquidité Investie",'Inventaire M-1'!D65="Option/Future",'Inventaire M-1'!D65="TCN",'Inventaire M-1'!D65=""),"-",'Inventaire M-1'!A65)</f>
        <v>XS2390152986</v>
      </c>
      <c r="S312" s="175" t="str">
        <f>IF(OR('Inventaire M-1'!D65="Dispo/Liquidité Investie",'Inventaire M-1'!D65="Option/Future",'Inventaire M-1'!D65="TCN",'Inventaire M-1'!D65=""),"-",'Inventaire M-1'!B65)</f>
        <v>ALTICE FRANCE SA (FRANCE) 4.25 15/10/2029</v>
      </c>
      <c r="T312" s="175"/>
      <c r="U312" s="175" t="e">
        <f>IF(R312="-","",INDEX('Inventaire M-1'!$A$2:$AG$9334,MATCH(R312,'Inventaire M-1'!$A:$A,0)-1,MATCH("Cours EUR",'Inventaire M-1'!#REF!,0)))</f>
        <v>#REF!</v>
      </c>
      <c r="V312" s="175" t="str">
        <f>IF(R312="-","",IF(ISERROR(INDEX('Inventaire M'!$A$2:$AD$9319,MATCH(R312,'Inventaire M'!$A:$A,0)-1,MATCH("Cours EUR",'Inventaire M'!#REF!,0))),"Sell",INDEX('Inventaire M'!$A$2:$AD$9319,MATCH(R312,'Inventaire M'!$A:$A,0)-1,MATCH("Cours EUR",'Inventaire M'!#REF!,0))))</f>
        <v>Sell</v>
      </c>
      <c r="W312" s="175"/>
      <c r="X312" s="156" t="e">
        <f>IF(R312="-","",INDEX('Inventaire M-1'!$A$2:$AG$9334,MATCH(R312,'Inventaire M-1'!$A:$A,0)-1,MATCH("quantite",'Inventaire M-1'!#REF!,0)))</f>
        <v>#REF!</v>
      </c>
      <c r="Y312" s="156" t="str">
        <f>IF(S312="-","",IF(ISERROR(INDEX('Inventaire M'!$A$2:$AD$9319,MATCH(R312,'Inventaire M'!$A:$A,0)-1,MATCH("quantite",'Inventaire M'!#REF!,0))),"Sell",INDEX('Inventaire M'!$A$2:$AD$9319,MATCH(R312,'Inventaire M'!$A:$A,0)-1,MATCH("quantite",'Inventaire M'!#REF!,0))))</f>
        <v>Sell</v>
      </c>
      <c r="Z312" s="175"/>
      <c r="AA312" s="155" t="e">
        <f>IF(R312="-","",INDEX('Inventaire M-1'!$A$2:$AG$9334,MATCH(R312,'Inventaire M-1'!$A:$A,0)-1,MATCH("poids",'Inventaire M-1'!#REF!,0)))</f>
        <v>#REF!</v>
      </c>
      <c r="AB312" s="155" t="str">
        <f>IF(R312="-","",IF(ISERROR(INDEX('Inventaire M'!$A$2:$AD$9319,MATCH(R312,'Inventaire M'!$A:$A,0)-1,MATCH("poids",'Inventaire M'!#REF!,0))),"Sell",INDEX('Inventaire M'!$A$2:$AD$9319,MATCH(R312,'Inventaire M'!$A:$A,0)-1,MATCH("poids",'Inventaire M'!#REF!,0))))</f>
        <v>Sell</v>
      </c>
      <c r="AC312" s="175"/>
      <c r="AD312" s="157" t="str">
        <f t="shared" si="33"/>
        <v>0</v>
      </c>
      <c r="AE312" s="98" t="str">
        <f t="shared" si="34"/>
        <v/>
      </c>
      <c r="AF312" s="80" t="str">
        <f t="shared" si="35"/>
        <v>ALTICE FRANCE SA (FRANCE) 4.25 15/10/2029</v>
      </c>
    </row>
    <row r="313" spans="2:32" outlineLevel="1">
      <c r="B313" s="175" t="str">
        <f>IF(OR('Inventaire M'!D91="Dispo/Liquidité Investie",'Inventaire M'!D91="Option/Future",'Inventaire M'!D91="TCN",'Inventaire M'!D91=""),"-",'Inventaire M'!A91)</f>
        <v>XS2732357525</v>
      </c>
      <c r="C313" s="175" t="str">
        <f>IF(OR('Inventaire M'!D91="Dispo/Liquidité Investie",'Inventaire M'!D91="Option/Future",'Inventaire M'!D91="TCN",'Inventaire M'!D91=""),"-",'Inventaire M'!B91)</f>
        <v>LOXAM SAS 6.375 31/05/2029</v>
      </c>
      <c r="D313" s="175"/>
      <c r="E313" s="175" t="e">
        <f>IF(B313="-","",INDEX('Inventaire M'!$A$2:$AW$9305,MATCH(B313,'Inventaire M'!$A:$A,0)-1,MATCH("Cours EUR",'Inventaire M'!#REF!,0)))</f>
        <v>#REF!</v>
      </c>
      <c r="F313" s="175" t="str">
        <f>IF(B313="-","",IF(ISERROR(INDEX('Inventaire M-1'!$A$2:$AZ$9320,MATCH(B313,'Inventaire M-1'!$A:$A,0)-1,MATCH("Cours EUR",'Inventaire M-1'!#REF!,0))),"Buy",INDEX('Inventaire M-1'!$A$2:$AZ$9320,MATCH(B313,'Inventaire M-1'!$A:$A,0)-1,MATCH("Cours EUR",'Inventaire M-1'!#REF!,0))))</f>
        <v>Buy</v>
      </c>
      <c r="G313" s="175"/>
      <c r="H313" s="156" t="e">
        <f>IF(B313="-","",INDEX('Inventaire M'!$A$2:$AW$9305,MATCH(B313,'Inventaire M'!$A:$A,0)-1,MATCH("quantite",'Inventaire M'!#REF!,0)))</f>
        <v>#REF!</v>
      </c>
      <c r="I313" s="156" t="str">
        <f>IF(C313="-","",IF(ISERROR(INDEX('Inventaire M-1'!$A$2:$AZ$9320,MATCH(B313,'Inventaire M-1'!$A:$A,0)-1,MATCH("quantite",'Inventaire M-1'!#REF!,0))),"Buy",INDEX('Inventaire M-1'!$A$2:$AZ$9320,MATCH(B313,'Inventaire M-1'!$A:$A,0)-1,MATCH("quantite",'Inventaire M-1'!#REF!,0))))</f>
        <v>Buy</v>
      </c>
      <c r="J313" s="175"/>
      <c r="K313" s="155" t="e">
        <f>IF(B313="-","",INDEX('Inventaire M'!$A$2:$AW$9305,MATCH(B313,'Inventaire M'!$A:$A,0)-1,MATCH("poids",'Inventaire M'!#REF!,0)))</f>
        <v>#REF!</v>
      </c>
      <c r="L313" s="155" t="str">
        <f>IF(B313="-","",IF(ISERROR(INDEX('Inventaire M-1'!$A$2:$AZ$9320,MATCH(B313,'Inventaire M-1'!$A:$A,0)-1,MATCH("poids",'Inventaire M-1'!#REF!,0))),"Buy",INDEX('Inventaire M-1'!$A$2:$AZ$9320,MATCH(B313,'Inventaire M-1'!$A:$A,0)-1,MATCH("poids",'Inventaire M-1'!#REF!,0))))</f>
        <v>Buy</v>
      </c>
      <c r="M313" s="175"/>
      <c r="N313" s="157" t="str">
        <f t="shared" si="30"/>
        <v>0</v>
      </c>
      <c r="O313" s="98" t="str">
        <f t="shared" si="31"/>
        <v/>
      </c>
      <c r="P313" s="80" t="str">
        <f t="shared" si="32"/>
        <v>LOXAM SAS 6.375 31/05/2029</v>
      </c>
      <c r="Q313" s="75">
        <v>2.8900000000000001E-8</v>
      </c>
      <c r="R313" s="175" t="str">
        <f>IF(OR('Inventaire M-1'!D66="Dispo/Liquidité Investie",'Inventaire M-1'!D66="Option/Future",'Inventaire M-1'!D66="TCN",'Inventaire M-1'!D66=""),"-",'Inventaire M-1'!A66)</f>
        <v>XS2391403354</v>
      </c>
      <c r="S313" s="175" t="str">
        <f>IF(OR('Inventaire M-1'!D66="Dispo/Liquidité Investie",'Inventaire M-1'!D66="Option/Future",'Inventaire M-1'!D66="TCN",'Inventaire M-1'!D66=""),"-",'Inventaire M-1'!B66)</f>
        <v>DOMETIC GROUP AB (PUBL) 2 29/09/2028</v>
      </c>
      <c r="T313" s="175"/>
      <c r="U313" s="175" t="e">
        <f>IF(R313="-","",INDEX('Inventaire M-1'!$A$2:$AG$9334,MATCH(R313,'Inventaire M-1'!$A:$A,0)-1,MATCH("Cours EUR",'Inventaire M-1'!#REF!,0)))</f>
        <v>#REF!</v>
      </c>
      <c r="V313" s="175" t="str">
        <f>IF(R313="-","",IF(ISERROR(INDEX('Inventaire M'!$A$2:$AD$9319,MATCH(R313,'Inventaire M'!$A:$A,0)-1,MATCH("Cours EUR",'Inventaire M'!#REF!,0))),"Sell",INDEX('Inventaire M'!$A$2:$AD$9319,MATCH(R313,'Inventaire M'!$A:$A,0)-1,MATCH("Cours EUR",'Inventaire M'!#REF!,0))))</f>
        <v>Sell</v>
      </c>
      <c r="W313" s="175"/>
      <c r="X313" s="156" t="e">
        <f>IF(R313="-","",INDEX('Inventaire M-1'!$A$2:$AG$9334,MATCH(R313,'Inventaire M-1'!$A:$A,0)-1,MATCH("quantite",'Inventaire M-1'!#REF!,0)))</f>
        <v>#REF!</v>
      </c>
      <c r="Y313" s="156" t="str">
        <f>IF(S313="-","",IF(ISERROR(INDEX('Inventaire M'!$A$2:$AD$9319,MATCH(R313,'Inventaire M'!$A:$A,0)-1,MATCH("quantite",'Inventaire M'!#REF!,0))),"Sell",INDEX('Inventaire M'!$A$2:$AD$9319,MATCH(R313,'Inventaire M'!$A:$A,0)-1,MATCH("quantite",'Inventaire M'!#REF!,0))))</f>
        <v>Sell</v>
      </c>
      <c r="Z313" s="175"/>
      <c r="AA313" s="155" t="e">
        <f>IF(R313="-","",INDEX('Inventaire M-1'!$A$2:$AG$9334,MATCH(R313,'Inventaire M-1'!$A:$A,0)-1,MATCH("poids",'Inventaire M-1'!#REF!,0)))</f>
        <v>#REF!</v>
      </c>
      <c r="AB313" s="155" t="str">
        <f>IF(R313="-","",IF(ISERROR(INDEX('Inventaire M'!$A$2:$AD$9319,MATCH(R313,'Inventaire M'!$A:$A,0)-1,MATCH("poids",'Inventaire M'!#REF!,0))),"Sell",INDEX('Inventaire M'!$A$2:$AD$9319,MATCH(R313,'Inventaire M'!$A:$A,0)-1,MATCH("poids",'Inventaire M'!#REF!,0))))</f>
        <v>Sell</v>
      </c>
      <c r="AC313" s="175"/>
      <c r="AD313" s="157" t="str">
        <f t="shared" si="33"/>
        <v>0</v>
      </c>
      <c r="AE313" s="98" t="str">
        <f t="shared" si="34"/>
        <v/>
      </c>
      <c r="AF313" s="80" t="str">
        <f t="shared" si="35"/>
        <v>DOMETIC GROUP AB (PUBL) 2 29/09/2028</v>
      </c>
    </row>
    <row r="314" spans="2:32" outlineLevel="1">
      <c r="B314" s="175" t="str">
        <f>IF(OR('Inventaire M'!D92="Dispo/Liquidité Investie",'Inventaire M'!D92="Option/Future",'Inventaire M'!D92="TCN",'Inventaire M'!D92=""),"-",'Inventaire M'!A92)</f>
        <v>XS2734938249</v>
      </c>
      <c r="C314" s="175" t="str">
        <f>IF(OR('Inventaire M'!D92="Dispo/Liquidité Investie",'Inventaire M'!D92="Option/Future",'Inventaire M'!D92="TCN",'Inventaire M'!D92=""),"-",'Inventaire M'!B92)</f>
        <v>EPHIOS SUBCO 3 SARL 7.875 31/01/2031</v>
      </c>
      <c r="D314" s="175"/>
      <c r="E314" s="175" t="e">
        <f>IF(B314="-","",INDEX('Inventaire M'!$A$2:$AW$9305,MATCH(B314,'Inventaire M'!$A:$A,0)-1,MATCH("Cours EUR",'Inventaire M'!#REF!,0)))</f>
        <v>#REF!</v>
      </c>
      <c r="F314" s="175" t="str">
        <f>IF(B314="-","",IF(ISERROR(INDEX('Inventaire M-1'!$A$2:$AZ$9320,MATCH(B314,'Inventaire M-1'!$A:$A,0)-1,MATCH("Cours EUR",'Inventaire M-1'!#REF!,0))),"Buy",INDEX('Inventaire M-1'!$A$2:$AZ$9320,MATCH(B314,'Inventaire M-1'!$A:$A,0)-1,MATCH("Cours EUR",'Inventaire M-1'!#REF!,0))))</f>
        <v>Buy</v>
      </c>
      <c r="G314" s="175"/>
      <c r="H314" s="156" t="e">
        <f>IF(B314="-","",INDEX('Inventaire M'!$A$2:$AW$9305,MATCH(B314,'Inventaire M'!$A:$A,0)-1,MATCH("quantite",'Inventaire M'!#REF!,0)))</f>
        <v>#REF!</v>
      </c>
      <c r="I314" s="156" t="str">
        <f>IF(C314="-","",IF(ISERROR(INDEX('Inventaire M-1'!$A$2:$AZ$9320,MATCH(B314,'Inventaire M-1'!$A:$A,0)-1,MATCH("quantite",'Inventaire M-1'!#REF!,0))),"Buy",INDEX('Inventaire M-1'!$A$2:$AZ$9320,MATCH(B314,'Inventaire M-1'!$A:$A,0)-1,MATCH("quantite",'Inventaire M-1'!#REF!,0))))</f>
        <v>Buy</v>
      </c>
      <c r="J314" s="175"/>
      <c r="K314" s="155" t="e">
        <f>IF(B314="-","",INDEX('Inventaire M'!$A$2:$AW$9305,MATCH(B314,'Inventaire M'!$A:$A,0)-1,MATCH("poids",'Inventaire M'!#REF!,0)))</f>
        <v>#REF!</v>
      </c>
      <c r="L314" s="155" t="str">
        <f>IF(B314="-","",IF(ISERROR(INDEX('Inventaire M-1'!$A$2:$AZ$9320,MATCH(B314,'Inventaire M-1'!$A:$A,0)-1,MATCH("poids",'Inventaire M-1'!#REF!,0))),"Buy",INDEX('Inventaire M-1'!$A$2:$AZ$9320,MATCH(B314,'Inventaire M-1'!$A:$A,0)-1,MATCH("poids",'Inventaire M-1'!#REF!,0))))</f>
        <v>Buy</v>
      </c>
      <c r="M314" s="175"/>
      <c r="N314" s="157" t="str">
        <f t="shared" si="30"/>
        <v>0</v>
      </c>
      <c r="O314" s="98" t="str">
        <f t="shared" si="31"/>
        <v/>
      </c>
      <c r="P314" s="80" t="str">
        <f t="shared" si="32"/>
        <v>EPHIOS SUBCO 3 SARL 7.875 31/01/2031</v>
      </c>
      <c r="Q314" s="75">
        <v>2.9000000000000002E-8</v>
      </c>
      <c r="R314" s="175" t="str">
        <f>IF(OR('Inventaire M-1'!D67="Dispo/Liquidité Investie",'Inventaire M-1'!D67="Option/Future",'Inventaire M-1'!D67="TCN",'Inventaire M-1'!D67=""),"-",'Inventaire M-1'!A67)</f>
        <v>XS2393001891</v>
      </c>
      <c r="S314" s="175" t="str">
        <f>IF(OR('Inventaire M-1'!D67="Dispo/Liquidité Investie",'Inventaire M-1'!D67="Option/Future",'Inventaire M-1'!D67="TCN",'Inventaire M-1'!D67=""),"-",'Inventaire M-1'!B67)</f>
        <v>GRIFOLS ESCROW ISSUER SAU 3.875 15/10/2028</v>
      </c>
      <c r="T314" s="175"/>
      <c r="U314" s="175" t="e">
        <f>IF(R314="-","",INDEX('Inventaire M-1'!$A$2:$AG$9334,MATCH(R314,'Inventaire M-1'!$A:$A,0)-1,MATCH("Cours EUR",'Inventaire M-1'!#REF!,0)))</f>
        <v>#REF!</v>
      </c>
      <c r="V314" s="175" t="str">
        <f>IF(R314="-","",IF(ISERROR(INDEX('Inventaire M'!$A$2:$AD$9319,MATCH(R314,'Inventaire M'!$A:$A,0)-1,MATCH("Cours EUR",'Inventaire M'!#REF!,0))),"Sell",INDEX('Inventaire M'!$A$2:$AD$9319,MATCH(R314,'Inventaire M'!$A:$A,0)-1,MATCH("Cours EUR",'Inventaire M'!#REF!,0))))</f>
        <v>Sell</v>
      </c>
      <c r="W314" s="175"/>
      <c r="X314" s="156" t="e">
        <f>IF(R314="-","",INDEX('Inventaire M-1'!$A$2:$AG$9334,MATCH(R314,'Inventaire M-1'!$A:$A,0)-1,MATCH("quantite",'Inventaire M-1'!#REF!,0)))</f>
        <v>#REF!</v>
      </c>
      <c r="Y314" s="156" t="str">
        <f>IF(S314="-","",IF(ISERROR(INDEX('Inventaire M'!$A$2:$AD$9319,MATCH(R314,'Inventaire M'!$A:$A,0)-1,MATCH("quantite",'Inventaire M'!#REF!,0))),"Sell",INDEX('Inventaire M'!$A$2:$AD$9319,MATCH(R314,'Inventaire M'!$A:$A,0)-1,MATCH("quantite",'Inventaire M'!#REF!,0))))</f>
        <v>Sell</v>
      </c>
      <c r="Z314" s="175"/>
      <c r="AA314" s="155" t="e">
        <f>IF(R314="-","",INDEX('Inventaire M-1'!$A$2:$AG$9334,MATCH(R314,'Inventaire M-1'!$A:$A,0)-1,MATCH("poids",'Inventaire M-1'!#REF!,0)))</f>
        <v>#REF!</v>
      </c>
      <c r="AB314" s="155" t="str">
        <f>IF(R314="-","",IF(ISERROR(INDEX('Inventaire M'!$A$2:$AD$9319,MATCH(R314,'Inventaire M'!$A:$A,0)-1,MATCH("poids",'Inventaire M'!#REF!,0))),"Sell",INDEX('Inventaire M'!$A$2:$AD$9319,MATCH(R314,'Inventaire M'!$A:$A,0)-1,MATCH("poids",'Inventaire M'!#REF!,0))))</f>
        <v>Sell</v>
      </c>
      <c r="AC314" s="175"/>
      <c r="AD314" s="157" t="str">
        <f t="shared" si="33"/>
        <v>0</v>
      </c>
      <c r="AE314" s="98" t="str">
        <f t="shared" si="34"/>
        <v/>
      </c>
      <c r="AF314" s="80" t="str">
        <f t="shared" si="35"/>
        <v>GRIFOLS ESCROW ISSUER SAU 3.875 15/10/2028</v>
      </c>
    </row>
    <row r="315" spans="2:32" outlineLevel="1">
      <c r="B315" s="175" t="str">
        <f>IF(OR('Inventaire M'!D93="Dispo/Liquidité Investie",'Inventaire M'!D93="Option/Future",'Inventaire M'!D93="TCN",'Inventaire M'!D93=""),"-",'Inventaire M'!A93)</f>
        <v>XS2755535577</v>
      </c>
      <c r="C315" s="175" t="str">
        <f>IF(OR('Inventaire M'!D93="Dispo/Liquidité Investie",'Inventaire M'!D93="Option/Future",'Inventaire M'!D93="TCN",'Inventaire M'!D93=""),"-",'Inventaire M'!B93)</f>
        <v>TELEFONICA EUROPE BV PERP</v>
      </c>
      <c r="D315" s="175"/>
      <c r="E315" s="175" t="e">
        <f>IF(B315="-","",INDEX('Inventaire M'!$A$2:$AW$9305,MATCH(B315,'Inventaire M'!$A:$A,0)-1,MATCH("Cours EUR",'Inventaire M'!#REF!,0)))</f>
        <v>#REF!</v>
      </c>
      <c r="F315" s="175" t="str">
        <f>IF(B315="-","",IF(ISERROR(INDEX('Inventaire M-1'!$A$2:$AZ$9320,MATCH(B315,'Inventaire M-1'!$A:$A,0)-1,MATCH("Cours EUR",'Inventaire M-1'!#REF!,0))),"Buy",INDEX('Inventaire M-1'!$A$2:$AZ$9320,MATCH(B315,'Inventaire M-1'!$A:$A,0)-1,MATCH("Cours EUR",'Inventaire M-1'!#REF!,0))))</f>
        <v>Buy</v>
      </c>
      <c r="G315" s="175"/>
      <c r="H315" s="156" t="e">
        <f>IF(B315="-","",INDEX('Inventaire M'!$A$2:$AW$9305,MATCH(B315,'Inventaire M'!$A:$A,0)-1,MATCH("quantite",'Inventaire M'!#REF!,0)))</f>
        <v>#REF!</v>
      </c>
      <c r="I315" s="156" t="str">
        <f>IF(C315="-","",IF(ISERROR(INDEX('Inventaire M-1'!$A$2:$AZ$9320,MATCH(B315,'Inventaire M-1'!$A:$A,0)-1,MATCH("quantite",'Inventaire M-1'!#REF!,0))),"Buy",INDEX('Inventaire M-1'!$A$2:$AZ$9320,MATCH(B315,'Inventaire M-1'!$A:$A,0)-1,MATCH("quantite",'Inventaire M-1'!#REF!,0))))</f>
        <v>Buy</v>
      </c>
      <c r="J315" s="175"/>
      <c r="K315" s="155" t="e">
        <f>IF(B315="-","",INDEX('Inventaire M'!$A$2:$AW$9305,MATCH(B315,'Inventaire M'!$A:$A,0)-1,MATCH("poids",'Inventaire M'!#REF!,0)))</f>
        <v>#REF!</v>
      </c>
      <c r="L315" s="155" t="str">
        <f>IF(B315="-","",IF(ISERROR(INDEX('Inventaire M-1'!$A$2:$AZ$9320,MATCH(B315,'Inventaire M-1'!$A:$A,0)-1,MATCH("poids",'Inventaire M-1'!#REF!,0))),"Buy",INDEX('Inventaire M-1'!$A$2:$AZ$9320,MATCH(B315,'Inventaire M-1'!$A:$A,0)-1,MATCH("poids",'Inventaire M-1'!#REF!,0))))</f>
        <v>Buy</v>
      </c>
      <c r="M315" s="175"/>
      <c r="N315" s="157" t="str">
        <f t="shared" si="30"/>
        <v>0</v>
      </c>
      <c r="O315" s="98" t="str">
        <f t="shared" si="31"/>
        <v/>
      </c>
      <c r="P315" s="80" t="str">
        <f t="shared" si="32"/>
        <v>TELEFONICA EUROPE BV PERP</v>
      </c>
      <c r="Q315" s="75">
        <v>2.9099999999999999E-8</v>
      </c>
      <c r="R315" s="175" t="str">
        <f>IF(OR('Inventaire M-1'!D68="Dispo/Liquidité Investie",'Inventaire M-1'!D68="Option/Future",'Inventaire M-1'!D68="TCN",'Inventaire M-1'!D68=""),"-",'Inventaire M-1'!A68)</f>
        <v>XS2397198487</v>
      </c>
      <c r="S315" s="175" t="str">
        <f>IF(OR('Inventaire M-1'!D68="Dispo/Liquidité Investie",'Inventaire M-1'!D68="Option/Future",'Inventaire M-1'!D68="TCN",'Inventaire M-1'!D68=""),"-",'Inventaire M-1'!B68)</f>
        <v>KAIXO BONDCO TELECOM SAU 5.125 30/09/2029</v>
      </c>
      <c r="T315" s="175"/>
      <c r="U315" s="175" t="e">
        <f>IF(R315="-","",INDEX('Inventaire M-1'!$A$2:$AG$9334,MATCH(R315,'Inventaire M-1'!$A:$A,0)-1,MATCH("Cours EUR",'Inventaire M-1'!#REF!,0)))</f>
        <v>#REF!</v>
      </c>
      <c r="V315" s="175" t="str">
        <f>IF(R315="-","",IF(ISERROR(INDEX('Inventaire M'!$A$2:$AD$9319,MATCH(R315,'Inventaire M'!$A:$A,0)-1,MATCH("Cours EUR",'Inventaire M'!#REF!,0))),"Sell",INDEX('Inventaire M'!$A$2:$AD$9319,MATCH(R315,'Inventaire M'!$A:$A,0)-1,MATCH("Cours EUR",'Inventaire M'!#REF!,0))))</f>
        <v>Sell</v>
      </c>
      <c r="W315" s="175"/>
      <c r="X315" s="156" t="e">
        <f>IF(R315="-","",INDEX('Inventaire M-1'!$A$2:$AG$9334,MATCH(R315,'Inventaire M-1'!$A:$A,0)-1,MATCH("quantite",'Inventaire M-1'!#REF!,0)))</f>
        <v>#REF!</v>
      </c>
      <c r="Y315" s="156" t="str">
        <f>IF(S315="-","",IF(ISERROR(INDEX('Inventaire M'!$A$2:$AD$9319,MATCH(R315,'Inventaire M'!$A:$A,0)-1,MATCH("quantite",'Inventaire M'!#REF!,0))),"Sell",INDEX('Inventaire M'!$A$2:$AD$9319,MATCH(R315,'Inventaire M'!$A:$A,0)-1,MATCH("quantite",'Inventaire M'!#REF!,0))))</f>
        <v>Sell</v>
      </c>
      <c r="Z315" s="175"/>
      <c r="AA315" s="155" t="e">
        <f>IF(R315="-","",INDEX('Inventaire M-1'!$A$2:$AG$9334,MATCH(R315,'Inventaire M-1'!$A:$A,0)-1,MATCH("poids",'Inventaire M-1'!#REF!,0)))</f>
        <v>#REF!</v>
      </c>
      <c r="AB315" s="155" t="str">
        <f>IF(R315="-","",IF(ISERROR(INDEX('Inventaire M'!$A$2:$AD$9319,MATCH(R315,'Inventaire M'!$A:$A,0)-1,MATCH("poids",'Inventaire M'!#REF!,0))),"Sell",INDEX('Inventaire M'!$A$2:$AD$9319,MATCH(R315,'Inventaire M'!$A:$A,0)-1,MATCH("poids",'Inventaire M'!#REF!,0))))</f>
        <v>Sell</v>
      </c>
      <c r="AC315" s="175"/>
      <c r="AD315" s="157" t="str">
        <f t="shared" si="33"/>
        <v>0</v>
      </c>
      <c r="AE315" s="98" t="str">
        <f t="shared" si="34"/>
        <v/>
      </c>
      <c r="AF315" s="80" t="str">
        <f t="shared" si="35"/>
        <v>KAIXO BONDCO TELECOM SAU 5.125 30/09/2029</v>
      </c>
    </row>
    <row r="316" spans="2:32" outlineLevel="1">
      <c r="B316" s="175" t="str">
        <f>IF(OR('Inventaire M'!D94="Dispo/Liquidité Investie",'Inventaire M'!D94="Option/Future",'Inventaire M'!D94="TCN",'Inventaire M'!D94=""),"-",'Inventaire M'!A94)</f>
        <v>XS2756269960</v>
      </c>
      <c r="C316" s="175" t="str">
        <f>IF(OR('Inventaire M'!D94="Dispo/Liquidité Investie",'Inventaire M'!D94="Option/Future",'Inventaire M'!D94="TCN",'Inventaire M'!D94=""),"-",'Inventaire M'!B94)</f>
        <v>KAPLA HOLDING SAS 31/07/2030</v>
      </c>
      <c r="D316" s="175"/>
      <c r="E316" s="175" t="e">
        <f>IF(B316="-","",INDEX('Inventaire M'!$A$2:$AW$9305,MATCH(B316,'Inventaire M'!$A:$A,0)-1,MATCH("Cours EUR",'Inventaire M'!#REF!,0)))</f>
        <v>#REF!</v>
      </c>
      <c r="F316" s="175" t="str">
        <f>IF(B316="-","",IF(ISERROR(INDEX('Inventaire M-1'!$A$2:$AZ$9320,MATCH(B316,'Inventaire M-1'!$A:$A,0)-1,MATCH("Cours EUR",'Inventaire M-1'!#REF!,0))),"Buy",INDEX('Inventaire M-1'!$A$2:$AZ$9320,MATCH(B316,'Inventaire M-1'!$A:$A,0)-1,MATCH("Cours EUR",'Inventaire M-1'!#REF!,0))))</f>
        <v>Buy</v>
      </c>
      <c r="G316" s="175"/>
      <c r="H316" s="156" t="e">
        <f>IF(B316="-","",INDEX('Inventaire M'!$A$2:$AW$9305,MATCH(B316,'Inventaire M'!$A:$A,0)-1,MATCH("quantite",'Inventaire M'!#REF!,0)))</f>
        <v>#REF!</v>
      </c>
      <c r="I316" s="156" t="str">
        <f>IF(C316="-","",IF(ISERROR(INDEX('Inventaire M-1'!$A$2:$AZ$9320,MATCH(B316,'Inventaire M-1'!$A:$A,0)-1,MATCH("quantite",'Inventaire M-1'!#REF!,0))),"Buy",INDEX('Inventaire M-1'!$A$2:$AZ$9320,MATCH(B316,'Inventaire M-1'!$A:$A,0)-1,MATCH("quantite",'Inventaire M-1'!#REF!,0))))</f>
        <v>Buy</v>
      </c>
      <c r="J316" s="175"/>
      <c r="K316" s="155" t="e">
        <f>IF(B316="-","",INDEX('Inventaire M'!$A$2:$AW$9305,MATCH(B316,'Inventaire M'!$A:$A,0)-1,MATCH("poids",'Inventaire M'!#REF!,0)))</f>
        <v>#REF!</v>
      </c>
      <c r="L316" s="155" t="str">
        <f>IF(B316="-","",IF(ISERROR(INDEX('Inventaire M-1'!$A$2:$AZ$9320,MATCH(B316,'Inventaire M-1'!$A:$A,0)-1,MATCH("poids",'Inventaire M-1'!#REF!,0))),"Buy",INDEX('Inventaire M-1'!$A$2:$AZ$9320,MATCH(B316,'Inventaire M-1'!$A:$A,0)-1,MATCH("poids",'Inventaire M-1'!#REF!,0))))</f>
        <v>Buy</v>
      </c>
      <c r="M316" s="175"/>
      <c r="N316" s="157" t="str">
        <f t="shared" si="30"/>
        <v>0</v>
      </c>
      <c r="O316" s="98" t="str">
        <f t="shared" si="31"/>
        <v/>
      </c>
      <c r="P316" s="80" t="str">
        <f t="shared" si="32"/>
        <v>KAPLA HOLDING SAS 31/07/2030</v>
      </c>
      <c r="Q316" s="75">
        <v>2.92E-8</v>
      </c>
      <c r="R316" s="175" t="str">
        <f>IF(OR('Inventaire M-1'!D69="Dispo/Liquidité Investie",'Inventaire M-1'!D69="Option/Future",'Inventaire M-1'!D69="TCN",'Inventaire M-1'!D69=""),"-",'Inventaire M-1'!A69)</f>
        <v>XS2406607171</v>
      </c>
      <c r="S316" s="175" t="str">
        <f>IF(OR('Inventaire M-1'!D69="Dispo/Liquidité Investie",'Inventaire M-1'!D69="Option/Future",'Inventaire M-1'!D69="TCN",'Inventaire M-1'!D69=""),"-",'Inventaire M-1'!B69)</f>
        <v>TEVA PHARMACEUTICAL FINANCE NETHER 4.375 09/05/2030</v>
      </c>
      <c r="T316" s="175"/>
      <c r="U316" s="175" t="e">
        <f>IF(R316="-","",INDEX('Inventaire M-1'!$A$2:$AG$9334,MATCH(R316,'Inventaire M-1'!$A:$A,0)-1,MATCH("Cours EUR",'Inventaire M-1'!#REF!,0)))</f>
        <v>#REF!</v>
      </c>
      <c r="V316" s="175" t="str">
        <f>IF(R316="-","",IF(ISERROR(INDEX('Inventaire M'!$A$2:$AD$9319,MATCH(R316,'Inventaire M'!$A:$A,0)-1,MATCH("Cours EUR",'Inventaire M'!#REF!,0))),"Sell",INDEX('Inventaire M'!$A$2:$AD$9319,MATCH(R316,'Inventaire M'!$A:$A,0)-1,MATCH("Cours EUR",'Inventaire M'!#REF!,0))))</f>
        <v>Sell</v>
      </c>
      <c r="W316" s="175"/>
      <c r="X316" s="156" t="e">
        <f>IF(R316="-","",INDEX('Inventaire M-1'!$A$2:$AG$9334,MATCH(R316,'Inventaire M-1'!$A:$A,0)-1,MATCH("quantite",'Inventaire M-1'!#REF!,0)))</f>
        <v>#REF!</v>
      </c>
      <c r="Y316" s="156" t="str">
        <f>IF(S316="-","",IF(ISERROR(INDEX('Inventaire M'!$A$2:$AD$9319,MATCH(R316,'Inventaire M'!$A:$A,0)-1,MATCH("quantite",'Inventaire M'!#REF!,0))),"Sell",INDEX('Inventaire M'!$A$2:$AD$9319,MATCH(R316,'Inventaire M'!$A:$A,0)-1,MATCH("quantite",'Inventaire M'!#REF!,0))))</f>
        <v>Sell</v>
      </c>
      <c r="Z316" s="175"/>
      <c r="AA316" s="155" t="e">
        <f>IF(R316="-","",INDEX('Inventaire M-1'!$A$2:$AG$9334,MATCH(R316,'Inventaire M-1'!$A:$A,0)-1,MATCH("poids",'Inventaire M-1'!#REF!,0)))</f>
        <v>#REF!</v>
      </c>
      <c r="AB316" s="155" t="str">
        <f>IF(R316="-","",IF(ISERROR(INDEX('Inventaire M'!$A$2:$AD$9319,MATCH(R316,'Inventaire M'!$A:$A,0)-1,MATCH("poids",'Inventaire M'!#REF!,0))),"Sell",INDEX('Inventaire M'!$A$2:$AD$9319,MATCH(R316,'Inventaire M'!$A:$A,0)-1,MATCH("poids",'Inventaire M'!#REF!,0))))</f>
        <v>Sell</v>
      </c>
      <c r="AC316" s="175"/>
      <c r="AD316" s="157" t="str">
        <f t="shared" si="33"/>
        <v>0</v>
      </c>
      <c r="AE316" s="98" t="str">
        <f t="shared" si="34"/>
        <v/>
      </c>
      <c r="AF316" s="80" t="str">
        <f t="shared" si="35"/>
        <v>TEVA PHARMACEUTICAL FINANCE NETHER 4.375 09/05/2030</v>
      </c>
    </row>
    <row r="317" spans="2:32" outlineLevel="1">
      <c r="B317" s="175" t="str">
        <f>IF(OR('Inventaire M'!D95="Dispo/Liquidité Investie",'Inventaire M'!D95="Option/Future",'Inventaire M'!D95="TCN",'Inventaire M'!D95=""),"-",'Inventaire M'!A95)</f>
        <v>XS2760863329</v>
      </c>
      <c r="C317" s="175" t="str">
        <f>IF(OR('Inventaire M'!D95="Dispo/Liquidité Investie",'Inventaire M'!D95="Option/Future",'Inventaire M'!D95="TCN",'Inventaire M'!D95=""),"-",'Inventaire M'!B95)</f>
        <v>CIRSA FINANCE INTERNATIONAL SARL 6.5 15/03/2029</v>
      </c>
      <c r="D317" s="175"/>
      <c r="E317" s="175" t="e">
        <f>IF(B317="-","",INDEX('Inventaire M'!$A$2:$AW$9305,MATCH(B317,'Inventaire M'!$A:$A,0)-1,MATCH("Cours EUR",'Inventaire M'!#REF!,0)))</f>
        <v>#REF!</v>
      </c>
      <c r="F317" s="175" t="str">
        <f>IF(B317="-","",IF(ISERROR(INDEX('Inventaire M-1'!$A$2:$AZ$9320,MATCH(B317,'Inventaire M-1'!$A:$A,0)-1,MATCH("Cours EUR",'Inventaire M-1'!#REF!,0))),"Buy",INDEX('Inventaire M-1'!$A$2:$AZ$9320,MATCH(B317,'Inventaire M-1'!$A:$A,0)-1,MATCH("Cours EUR",'Inventaire M-1'!#REF!,0))))</f>
        <v>Buy</v>
      </c>
      <c r="G317" s="175"/>
      <c r="H317" s="156" t="e">
        <f>IF(B317="-","",INDEX('Inventaire M'!$A$2:$AW$9305,MATCH(B317,'Inventaire M'!$A:$A,0)-1,MATCH("quantite",'Inventaire M'!#REF!,0)))</f>
        <v>#REF!</v>
      </c>
      <c r="I317" s="156" t="str">
        <f>IF(C317="-","",IF(ISERROR(INDEX('Inventaire M-1'!$A$2:$AZ$9320,MATCH(B317,'Inventaire M-1'!$A:$A,0)-1,MATCH("quantite",'Inventaire M-1'!#REF!,0))),"Buy",INDEX('Inventaire M-1'!$A$2:$AZ$9320,MATCH(B317,'Inventaire M-1'!$A:$A,0)-1,MATCH("quantite",'Inventaire M-1'!#REF!,0))))</f>
        <v>Buy</v>
      </c>
      <c r="J317" s="175"/>
      <c r="K317" s="155" t="e">
        <f>IF(B317="-","",INDEX('Inventaire M'!$A$2:$AW$9305,MATCH(B317,'Inventaire M'!$A:$A,0)-1,MATCH("poids",'Inventaire M'!#REF!,0)))</f>
        <v>#REF!</v>
      </c>
      <c r="L317" s="155" t="str">
        <f>IF(B317="-","",IF(ISERROR(INDEX('Inventaire M-1'!$A$2:$AZ$9320,MATCH(B317,'Inventaire M-1'!$A:$A,0)-1,MATCH("poids",'Inventaire M-1'!#REF!,0))),"Buy",INDEX('Inventaire M-1'!$A$2:$AZ$9320,MATCH(B317,'Inventaire M-1'!$A:$A,0)-1,MATCH("poids",'Inventaire M-1'!#REF!,0))))</f>
        <v>Buy</v>
      </c>
      <c r="M317" s="175"/>
      <c r="N317" s="157" t="str">
        <f t="shared" si="30"/>
        <v>0</v>
      </c>
      <c r="O317" s="98" t="str">
        <f t="shared" si="31"/>
        <v/>
      </c>
      <c r="P317" s="80" t="str">
        <f t="shared" si="32"/>
        <v>CIRSA FINANCE INTERNATIONAL SARL 6.5 15/03/2029</v>
      </c>
      <c r="Q317" s="75">
        <v>2.9300000000000001E-8</v>
      </c>
      <c r="R317" s="175" t="str">
        <f>IF(OR('Inventaire M-1'!D70="Dispo/Liquidité Investie",'Inventaire M-1'!D70="Option/Future",'Inventaire M-1'!D70="TCN",'Inventaire M-1'!D70=""),"-",'Inventaire M-1'!A70)</f>
        <v>XS2406737036</v>
      </c>
      <c r="S317" s="175" t="str">
        <f>IF(OR('Inventaire M-1'!D70="Dispo/Liquidité Investie",'Inventaire M-1'!D70="Option/Future",'Inventaire M-1'!D70="TCN",'Inventaire M-1'!D70=""),"-",'Inventaire M-1'!B70)</f>
        <v>NATURGY FINANCE BV PERP</v>
      </c>
      <c r="T317" s="175"/>
      <c r="U317" s="175" t="e">
        <f>IF(R317="-","",INDEX('Inventaire M-1'!$A$2:$AG$9334,MATCH(R317,'Inventaire M-1'!$A:$A,0)-1,MATCH("Cours EUR",'Inventaire M-1'!#REF!,0)))</f>
        <v>#REF!</v>
      </c>
      <c r="V317" s="175" t="str">
        <f>IF(R317="-","",IF(ISERROR(INDEX('Inventaire M'!$A$2:$AD$9319,MATCH(R317,'Inventaire M'!$A:$A,0)-1,MATCH("Cours EUR",'Inventaire M'!#REF!,0))),"Sell",INDEX('Inventaire M'!$A$2:$AD$9319,MATCH(R317,'Inventaire M'!$A:$A,0)-1,MATCH("Cours EUR",'Inventaire M'!#REF!,0))))</f>
        <v>Sell</v>
      </c>
      <c r="W317" s="175"/>
      <c r="X317" s="156" t="e">
        <f>IF(R317="-","",INDEX('Inventaire M-1'!$A$2:$AG$9334,MATCH(R317,'Inventaire M-1'!$A:$A,0)-1,MATCH("quantite",'Inventaire M-1'!#REF!,0)))</f>
        <v>#REF!</v>
      </c>
      <c r="Y317" s="156" t="str">
        <f>IF(S317="-","",IF(ISERROR(INDEX('Inventaire M'!$A$2:$AD$9319,MATCH(R317,'Inventaire M'!$A:$A,0)-1,MATCH("quantite",'Inventaire M'!#REF!,0))),"Sell",INDEX('Inventaire M'!$A$2:$AD$9319,MATCH(R317,'Inventaire M'!$A:$A,0)-1,MATCH("quantite",'Inventaire M'!#REF!,0))))</f>
        <v>Sell</v>
      </c>
      <c r="Z317" s="175"/>
      <c r="AA317" s="155" t="e">
        <f>IF(R317="-","",INDEX('Inventaire M-1'!$A$2:$AG$9334,MATCH(R317,'Inventaire M-1'!$A:$A,0)-1,MATCH("poids",'Inventaire M-1'!#REF!,0)))</f>
        <v>#REF!</v>
      </c>
      <c r="AB317" s="155" t="str">
        <f>IF(R317="-","",IF(ISERROR(INDEX('Inventaire M'!$A$2:$AD$9319,MATCH(R317,'Inventaire M'!$A:$A,0)-1,MATCH("poids",'Inventaire M'!#REF!,0))),"Sell",INDEX('Inventaire M'!$A$2:$AD$9319,MATCH(R317,'Inventaire M'!$A:$A,0)-1,MATCH("poids",'Inventaire M'!#REF!,0))))</f>
        <v>Sell</v>
      </c>
      <c r="AC317" s="175"/>
      <c r="AD317" s="157" t="str">
        <f t="shared" si="33"/>
        <v>0</v>
      </c>
      <c r="AE317" s="98" t="str">
        <f t="shared" si="34"/>
        <v/>
      </c>
      <c r="AF317" s="80" t="str">
        <f t="shared" si="35"/>
        <v>NATURGY FINANCE BV PERP</v>
      </c>
    </row>
    <row r="318" spans="2:32" outlineLevel="1">
      <c r="B318" s="175" t="str">
        <f>IF(OR('Inventaire M'!D96="Dispo/Liquidité Investie",'Inventaire M'!D96="Option/Future",'Inventaire M'!D96="TCN",'Inventaire M'!D96=""),"-",'Inventaire M'!A96)</f>
        <v>XS2761223127</v>
      </c>
      <c r="C318" s="175" t="str">
        <f>IF(OR('Inventaire M'!D96="Dispo/Liquidité Investie",'Inventaire M'!D96="Option/Future",'Inventaire M'!D96="TCN",'Inventaire M'!D96=""),"-",'Inventaire M'!B96)</f>
        <v>GOLDSTORY SAS 6.75 01/02/2030</v>
      </c>
      <c r="D318" s="175"/>
      <c r="E318" s="175" t="e">
        <f>IF(B318="-","",INDEX('Inventaire M'!$A$2:$AW$9305,MATCH(B318,'Inventaire M'!$A:$A,0)-1,MATCH("Cours EUR",'Inventaire M'!#REF!,0)))</f>
        <v>#REF!</v>
      </c>
      <c r="F318" s="175" t="str">
        <f>IF(B318="-","",IF(ISERROR(INDEX('Inventaire M-1'!$A$2:$AZ$9320,MATCH(B318,'Inventaire M-1'!$A:$A,0)-1,MATCH("Cours EUR",'Inventaire M-1'!#REF!,0))),"Buy",INDEX('Inventaire M-1'!$A$2:$AZ$9320,MATCH(B318,'Inventaire M-1'!$A:$A,0)-1,MATCH("Cours EUR",'Inventaire M-1'!#REF!,0))))</f>
        <v>Buy</v>
      </c>
      <c r="G318" s="175"/>
      <c r="H318" s="156" t="e">
        <f>IF(B318="-","",INDEX('Inventaire M'!$A$2:$AW$9305,MATCH(B318,'Inventaire M'!$A:$A,0)-1,MATCH("quantite",'Inventaire M'!#REF!,0)))</f>
        <v>#REF!</v>
      </c>
      <c r="I318" s="156" t="str">
        <f>IF(C318="-","",IF(ISERROR(INDEX('Inventaire M-1'!$A$2:$AZ$9320,MATCH(B318,'Inventaire M-1'!$A:$A,0)-1,MATCH("quantite",'Inventaire M-1'!#REF!,0))),"Buy",INDEX('Inventaire M-1'!$A$2:$AZ$9320,MATCH(B318,'Inventaire M-1'!$A:$A,0)-1,MATCH("quantite",'Inventaire M-1'!#REF!,0))))</f>
        <v>Buy</v>
      </c>
      <c r="J318" s="175"/>
      <c r="K318" s="155" t="e">
        <f>IF(B318="-","",INDEX('Inventaire M'!$A$2:$AW$9305,MATCH(B318,'Inventaire M'!$A:$A,0)-1,MATCH("poids",'Inventaire M'!#REF!,0)))</f>
        <v>#REF!</v>
      </c>
      <c r="L318" s="155" t="str">
        <f>IF(B318="-","",IF(ISERROR(INDEX('Inventaire M-1'!$A$2:$AZ$9320,MATCH(B318,'Inventaire M-1'!$A:$A,0)-1,MATCH("poids",'Inventaire M-1'!#REF!,0))),"Buy",INDEX('Inventaire M-1'!$A$2:$AZ$9320,MATCH(B318,'Inventaire M-1'!$A:$A,0)-1,MATCH("poids",'Inventaire M-1'!#REF!,0))))</f>
        <v>Buy</v>
      </c>
      <c r="M318" s="175"/>
      <c r="N318" s="157" t="str">
        <f t="shared" si="30"/>
        <v>0</v>
      </c>
      <c r="O318" s="98" t="str">
        <f t="shared" si="31"/>
        <v/>
      </c>
      <c r="P318" s="80" t="str">
        <f t="shared" si="32"/>
        <v>GOLDSTORY SAS 6.75 01/02/2030</v>
      </c>
      <c r="Q318" s="75">
        <v>2.9399999999999999E-8</v>
      </c>
      <c r="R318" s="175" t="str">
        <f>IF(OR('Inventaire M-1'!D71="Dispo/Liquidité Investie",'Inventaire M-1'!D71="Option/Future",'Inventaire M-1'!D71="TCN",'Inventaire M-1'!D71=""),"-",'Inventaire M-1'!A71)</f>
        <v>XS2410367747</v>
      </c>
      <c r="S318" s="175" t="str">
        <f>IF(OR('Inventaire M-1'!D71="Dispo/Liquidité Investie",'Inventaire M-1'!D71="Option/Future",'Inventaire M-1'!D71="TCN",'Inventaire M-1'!D71=""),"-",'Inventaire M-1'!B71)</f>
        <v>TELEFONICA EUROPE BV PERP</v>
      </c>
      <c r="T318" s="175"/>
      <c r="U318" s="175" t="e">
        <f>IF(R318="-","",INDEX('Inventaire M-1'!$A$2:$AG$9334,MATCH(R318,'Inventaire M-1'!$A:$A,0)-1,MATCH("Cours EUR",'Inventaire M-1'!#REF!,0)))</f>
        <v>#REF!</v>
      </c>
      <c r="V318" s="175" t="str">
        <f>IF(R318="-","",IF(ISERROR(INDEX('Inventaire M'!$A$2:$AD$9319,MATCH(R318,'Inventaire M'!$A:$A,0)-1,MATCH("Cours EUR",'Inventaire M'!#REF!,0))),"Sell",INDEX('Inventaire M'!$A$2:$AD$9319,MATCH(R318,'Inventaire M'!$A:$A,0)-1,MATCH("Cours EUR",'Inventaire M'!#REF!,0))))</f>
        <v>Sell</v>
      </c>
      <c r="W318" s="175"/>
      <c r="X318" s="156" t="e">
        <f>IF(R318="-","",INDEX('Inventaire M-1'!$A$2:$AG$9334,MATCH(R318,'Inventaire M-1'!$A:$A,0)-1,MATCH("quantite",'Inventaire M-1'!#REF!,0)))</f>
        <v>#REF!</v>
      </c>
      <c r="Y318" s="156" t="str">
        <f>IF(S318="-","",IF(ISERROR(INDEX('Inventaire M'!$A$2:$AD$9319,MATCH(R318,'Inventaire M'!$A:$A,0)-1,MATCH("quantite",'Inventaire M'!#REF!,0))),"Sell",INDEX('Inventaire M'!$A$2:$AD$9319,MATCH(R318,'Inventaire M'!$A:$A,0)-1,MATCH("quantite",'Inventaire M'!#REF!,0))))</f>
        <v>Sell</v>
      </c>
      <c r="Z318" s="175"/>
      <c r="AA318" s="155" t="e">
        <f>IF(R318="-","",INDEX('Inventaire M-1'!$A$2:$AG$9334,MATCH(R318,'Inventaire M-1'!$A:$A,0)-1,MATCH("poids",'Inventaire M-1'!#REF!,0)))</f>
        <v>#REF!</v>
      </c>
      <c r="AB318" s="155" t="str">
        <f>IF(R318="-","",IF(ISERROR(INDEX('Inventaire M'!$A$2:$AD$9319,MATCH(R318,'Inventaire M'!$A:$A,0)-1,MATCH("poids",'Inventaire M'!#REF!,0))),"Sell",INDEX('Inventaire M'!$A$2:$AD$9319,MATCH(R318,'Inventaire M'!$A:$A,0)-1,MATCH("poids",'Inventaire M'!#REF!,0))))</f>
        <v>Sell</v>
      </c>
      <c r="AC318" s="175"/>
      <c r="AD318" s="157" t="str">
        <f t="shared" si="33"/>
        <v>0</v>
      </c>
      <c r="AE318" s="98" t="str">
        <f t="shared" si="34"/>
        <v/>
      </c>
      <c r="AF318" s="80" t="str">
        <f t="shared" si="35"/>
        <v>TELEFONICA EUROPE BV PERP</v>
      </c>
    </row>
    <row r="319" spans="2:32" outlineLevel="1">
      <c r="B319" s="175" t="str">
        <f>IF(OR('Inventaire M'!D97="Dispo/Liquidité Investie",'Inventaire M'!D97="Option/Future",'Inventaire M'!D97="TCN",'Inventaire M'!D97=""),"-",'Inventaire M'!A97)</f>
        <v>XS2769426623</v>
      </c>
      <c r="C319" s="175" t="str">
        <f>IF(OR('Inventaire M'!D97="Dispo/Liquidité Investie",'Inventaire M'!D97="Option/Future",'Inventaire M'!D97="TCN",'Inventaire M'!D97=""),"-",'Inventaire M'!B97)</f>
        <v>AVIS BUDGET FINANCE PLC 7 28/02/2029</v>
      </c>
      <c r="D319" s="175"/>
      <c r="E319" s="175" t="e">
        <f>IF(B319="-","",INDEX('Inventaire M'!$A$2:$AW$9305,MATCH(B319,'Inventaire M'!$A:$A,0)-1,MATCH("Cours EUR",'Inventaire M'!#REF!,0)))</f>
        <v>#REF!</v>
      </c>
      <c r="F319" s="175" t="str">
        <f>IF(B319="-","",IF(ISERROR(INDEX('Inventaire M-1'!$A$2:$AZ$9320,MATCH(B319,'Inventaire M-1'!$A:$A,0)-1,MATCH("Cours EUR",'Inventaire M-1'!#REF!,0))),"Buy",INDEX('Inventaire M-1'!$A$2:$AZ$9320,MATCH(B319,'Inventaire M-1'!$A:$A,0)-1,MATCH("Cours EUR",'Inventaire M-1'!#REF!,0))))</f>
        <v>Buy</v>
      </c>
      <c r="G319" s="175"/>
      <c r="H319" s="156" t="e">
        <f>IF(B319="-","",INDEX('Inventaire M'!$A$2:$AW$9305,MATCH(B319,'Inventaire M'!$A:$A,0)-1,MATCH("quantite",'Inventaire M'!#REF!,0)))</f>
        <v>#REF!</v>
      </c>
      <c r="I319" s="156" t="str">
        <f>IF(C319="-","",IF(ISERROR(INDEX('Inventaire M-1'!$A$2:$AZ$9320,MATCH(B319,'Inventaire M-1'!$A:$A,0)-1,MATCH("quantite",'Inventaire M-1'!#REF!,0))),"Buy",INDEX('Inventaire M-1'!$A$2:$AZ$9320,MATCH(B319,'Inventaire M-1'!$A:$A,0)-1,MATCH("quantite",'Inventaire M-1'!#REF!,0))))</f>
        <v>Buy</v>
      </c>
      <c r="J319" s="175"/>
      <c r="K319" s="155" t="e">
        <f>IF(B319="-","",INDEX('Inventaire M'!$A$2:$AW$9305,MATCH(B319,'Inventaire M'!$A:$A,0)-1,MATCH("poids",'Inventaire M'!#REF!,0)))</f>
        <v>#REF!</v>
      </c>
      <c r="L319" s="155" t="str">
        <f>IF(B319="-","",IF(ISERROR(INDEX('Inventaire M-1'!$A$2:$AZ$9320,MATCH(B319,'Inventaire M-1'!$A:$A,0)-1,MATCH("poids",'Inventaire M-1'!#REF!,0))),"Buy",INDEX('Inventaire M-1'!$A$2:$AZ$9320,MATCH(B319,'Inventaire M-1'!$A:$A,0)-1,MATCH("poids",'Inventaire M-1'!#REF!,0))))</f>
        <v>Buy</v>
      </c>
      <c r="M319" s="175"/>
      <c r="N319" s="157" t="str">
        <f t="shared" si="30"/>
        <v>0</v>
      </c>
      <c r="O319" s="98" t="str">
        <f t="shared" si="31"/>
        <v/>
      </c>
      <c r="P319" s="80" t="str">
        <f t="shared" si="32"/>
        <v>AVIS BUDGET FINANCE PLC 7 28/02/2029</v>
      </c>
      <c r="Q319" s="75">
        <v>2.9499999999999999E-8</v>
      </c>
      <c r="R319" s="175" t="str">
        <f>IF(OR('Inventaire M-1'!D72="Dispo/Liquidité Investie",'Inventaire M-1'!D72="Option/Future",'Inventaire M-1'!D72="TCN",'Inventaire M-1'!D72=""),"-",'Inventaire M-1'!A72)</f>
        <v>XS2417090789</v>
      </c>
      <c r="S319" s="175" t="str">
        <f>IF(OR('Inventaire M-1'!D72="Dispo/Liquidité Investie",'Inventaire M-1'!D72="Option/Future",'Inventaire M-1'!D72="TCN",'Inventaire M-1'!D72=""),"-",'Inventaire M-1'!B72)</f>
        <v>WP/AP TELECOM HOLDINGS IV BV 3.75 15/01/2029</v>
      </c>
      <c r="T319" s="175"/>
      <c r="U319" s="175" t="e">
        <f>IF(R319="-","",INDEX('Inventaire M-1'!$A$2:$AG$9334,MATCH(R319,'Inventaire M-1'!$A:$A,0)-1,MATCH("Cours EUR",'Inventaire M-1'!#REF!,0)))</f>
        <v>#REF!</v>
      </c>
      <c r="V319" s="175" t="str">
        <f>IF(R319="-","",IF(ISERROR(INDEX('Inventaire M'!$A$2:$AD$9319,MATCH(R319,'Inventaire M'!$A:$A,0)-1,MATCH("Cours EUR",'Inventaire M'!#REF!,0))),"Sell",INDEX('Inventaire M'!$A$2:$AD$9319,MATCH(R319,'Inventaire M'!$A:$A,0)-1,MATCH("Cours EUR",'Inventaire M'!#REF!,0))))</f>
        <v>Sell</v>
      </c>
      <c r="W319" s="175"/>
      <c r="X319" s="156" t="e">
        <f>IF(R319="-","",INDEX('Inventaire M-1'!$A$2:$AG$9334,MATCH(R319,'Inventaire M-1'!$A:$A,0)-1,MATCH("quantite",'Inventaire M-1'!#REF!,0)))</f>
        <v>#REF!</v>
      </c>
      <c r="Y319" s="156" t="str">
        <f>IF(S319="-","",IF(ISERROR(INDEX('Inventaire M'!$A$2:$AD$9319,MATCH(R319,'Inventaire M'!$A:$A,0)-1,MATCH("quantite",'Inventaire M'!#REF!,0))),"Sell",INDEX('Inventaire M'!$A$2:$AD$9319,MATCH(R319,'Inventaire M'!$A:$A,0)-1,MATCH("quantite",'Inventaire M'!#REF!,0))))</f>
        <v>Sell</v>
      </c>
      <c r="Z319" s="175"/>
      <c r="AA319" s="155" t="e">
        <f>IF(R319="-","",INDEX('Inventaire M-1'!$A$2:$AG$9334,MATCH(R319,'Inventaire M-1'!$A:$A,0)-1,MATCH("poids",'Inventaire M-1'!#REF!,0)))</f>
        <v>#REF!</v>
      </c>
      <c r="AB319" s="155" t="str">
        <f>IF(R319="-","",IF(ISERROR(INDEX('Inventaire M'!$A$2:$AD$9319,MATCH(R319,'Inventaire M'!$A:$A,0)-1,MATCH("poids",'Inventaire M'!#REF!,0))),"Sell",INDEX('Inventaire M'!$A$2:$AD$9319,MATCH(R319,'Inventaire M'!$A:$A,0)-1,MATCH("poids",'Inventaire M'!#REF!,0))))</f>
        <v>Sell</v>
      </c>
      <c r="AC319" s="175"/>
      <c r="AD319" s="157" t="str">
        <f t="shared" si="33"/>
        <v>0</v>
      </c>
      <c r="AE319" s="98" t="str">
        <f t="shared" si="34"/>
        <v/>
      </c>
      <c r="AF319" s="80" t="str">
        <f t="shared" si="35"/>
        <v>WP/AP TELECOM HOLDINGS IV BV 3.75 15/01/2029</v>
      </c>
    </row>
    <row r="320" spans="2:32" outlineLevel="1">
      <c r="B320" s="175" t="str">
        <f>IF(OR('Inventaire M'!D98="Dispo/Liquidité Investie",'Inventaire M'!D98="Option/Future",'Inventaire M'!D98="TCN",'Inventaire M'!D98=""),"-",'Inventaire M'!A98)</f>
        <v>XS2770512064</v>
      </c>
      <c r="C320" s="175" t="str">
        <f>IF(OR('Inventaire M'!D98="Dispo/Liquidité Investie",'Inventaire M'!D98="Option/Future",'Inventaire M'!D98="TCN",'Inventaire M'!D98=""),"-",'Inventaire M'!B98)</f>
        <v>ENEL SPA PERP</v>
      </c>
      <c r="D320" s="175"/>
      <c r="E320" s="175" t="e">
        <f>IF(B320="-","",INDEX('Inventaire M'!$A$2:$AW$9305,MATCH(B320,'Inventaire M'!$A:$A,0)-1,MATCH("Cours EUR",'Inventaire M'!#REF!,0)))</f>
        <v>#REF!</v>
      </c>
      <c r="F320" s="175" t="str">
        <f>IF(B320="-","",IF(ISERROR(INDEX('Inventaire M-1'!$A$2:$AZ$9320,MATCH(B320,'Inventaire M-1'!$A:$A,0)-1,MATCH("Cours EUR",'Inventaire M-1'!#REF!,0))),"Buy",INDEX('Inventaire M-1'!$A$2:$AZ$9320,MATCH(B320,'Inventaire M-1'!$A:$A,0)-1,MATCH("Cours EUR",'Inventaire M-1'!#REF!,0))))</f>
        <v>Buy</v>
      </c>
      <c r="G320" s="175"/>
      <c r="H320" s="156" t="e">
        <f>IF(B320="-","",INDEX('Inventaire M'!$A$2:$AW$9305,MATCH(B320,'Inventaire M'!$A:$A,0)-1,MATCH("quantite",'Inventaire M'!#REF!,0)))</f>
        <v>#REF!</v>
      </c>
      <c r="I320" s="156" t="str">
        <f>IF(C320="-","",IF(ISERROR(INDEX('Inventaire M-1'!$A$2:$AZ$9320,MATCH(B320,'Inventaire M-1'!$A:$A,0)-1,MATCH("quantite",'Inventaire M-1'!#REF!,0))),"Buy",INDEX('Inventaire M-1'!$A$2:$AZ$9320,MATCH(B320,'Inventaire M-1'!$A:$A,0)-1,MATCH("quantite",'Inventaire M-1'!#REF!,0))))</f>
        <v>Buy</v>
      </c>
      <c r="J320" s="175"/>
      <c r="K320" s="155" t="e">
        <f>IF(B320="-","",INDEX('Inventaire M'!$A$2:$AW$9305,MATCH(B320,'Inventaire M'!$A:$A,0)-1,MATCH("poids",'Inventaire M'!#REF!,0)))</f>
        <v>#REF!</v>
      </c>
      <c r="L320" s="155" t="str">
        <f>IF(B320="-","",IF(ISERROR(INDEX('Inventaire M-1'!$A$2:$AZ$9320,MATCH(B320,'Inventaire M-1'!$A:$A,0)-1,MATCH("poids",'Inventaire M-1'!#REF!,0))),"Buy",INDEX('Inventaire M-1'!$A$2:$AZ$9320,MATCH(B320,'Inventaire M-1'!$A:$A,0)-1,MATCH("poids",'Inventaire M-1'!#REF!,0))))</f>
        <v>Buy</v>
      </c>
      <c r="M320" s="175"/>
      <c r="N320" s="157" t="str">
        <f t="shared" si="30"/>
        <v>0</v>
      </c>
      <c r="O320" s="98" t="str">
        <f t="shared" si="31"/>
        <v/>
      </c>
      <c r="P320" s="80" t="str">
        <f t="shared" si="32"/>
        <v>ENEL SPA PERP</v>
      </c>
      <c r="Q320" s="75">
        <v>2.96E-8</v>
      </c>
      <c r="R320" s="175" t="str">
        <f>IF(OR('Inventaire M-1'!D73="Dispo/Liquidité Investie",'Inventaire M-1'!D73="Option/Future",'Inventaire M-1'!D73="TCN",'Inventaire M-1'!D73=""),"-",'Inventaire M-1'!A73)</f>
        <v>XS2417092132</v>
      </c>
      <c r="S320" s="175" t="str">
        <f>IF(OR('Inventaire M-1'!D73="Dispo/Liquidité Investie",'Inventaire M-1'!D73="Option/Future",'Inventaire M-1'!D73="TCN",'Inventaire M-1'!D73=""),"-",'Inventaire M-1'!B73)</f>
        <v>WP/AP TELECOM HOLDINGS 5.5 15/01/2030</v>
      </c>
      <c r="T320" s="175"/>
      <c r="U320" s="175" t="e">
        <f>IF(R320="-","",INDEX('Inventaire M-1'!$A$2:$AG$9334,MATCH(R320,'Inventaire M-1'!$A:$A,0)-1,MATCH("Cours EUR",'Inventaire M-1'!#REF!,0)))</f>
        <v>#REF!</v>
      </c>
      <c r="V320" s="175" t="str">
        <f>IF(R320="-","",IF(ISERROR(INDEX('Inventaire M'!$A$2:$AD$9319,MATCH(R320,'Inventaire M'!$A:$A,0)-1,MATCH("Cours EUR",'Inventaire M'!#REF!,0))),"Sell",INDEX('Inventaire M'!$A$2:$AD$9319,MATCH(R320,'Inventaire M'!$A:$A,0)-1,MATCH("Cours EUR",'Inventaire M'!#REF!,0))))</f>
        <v>Sell</v>
      </c>
      <c r="W320" s="175"/>
      <c r="X320" s="156" t="e">
        <f>IF(R320="-","",INDEX('Inventaire M-1'!$A$2:$AG$9334,MATCH(R320,'Inventaire M-1'!$A:$A,0)-1,MATCH("quantite",'Inventaire M-1'!#REF!,0)))</f>
        <v>#REF!</v>
      </c>
      <c r="Y320" s="156" t="str">
        <f>IF(S320="-","",IF(ISERROR(INDEX('Inventaire M'!$A$2:$AD$9319,MATCH(R320,'Inventaire M'!$A:$A,0)-1,MATCH("quantite",'Inventaire M'!#REF!,0))),"Sell",INDEX('Inventaire M'!$A$2:$AD$9319,MATCH(R320,'Inventaire M'!$A:$A,0)-1,MATCH("quantite",'Inventaire M'!#REF!,0))))</f>
        <v>Sell</v>
      </c>
      <c r="Z320" s="175"/>
      <c r="AA320" s="155" t="e">
        <f>IF(R320="-","",INDEX('Inventaire M-1'!$A$2:$AG$9334,MATCH(R320,'Inventaire M-1'!$A:$A,0)-1,MATCH("poids",'Inventaire M-1'!#REF!,0)))</f>
        <v>#REF!</v>
      </c>
      <c r="AB320" s="155" t="str">
        <f>IF(R320="-","",IF(ISERROR(INDEX('Inventaire M'!$A$2:$AD$9319,MATCH(R320,'Inventaire M'!$A:$A,0)-1,MATCH("poids",'Inventaire M'!#REF!,0))),"Sell",INDEX('Inventaire M'!$A$2:$AD$9319,MATCH(R320,'Inventaire M'!$A:$A,0)-1,MATCH("poids",'Inventaire M'!#REF!,0))))</f>
        <v>Sell</v>
      </c>
      <c r="AC320" s="175"/>
      <c r="AD320" s="157" t="str">
        <f t="shared" si="33"/>
        <v>0</v>
      </c>
      <c r="AE320" s="98" t="str">
        <f t="shared" si="34"/>
        <v/>
      </c>
      <c r="AF320" s="80" t="str">
        <f t="shared" si="35"/>
        <v>WP/AP TELECOM HOLDINGS 5.5 15/01/2030</v>
      </c>
    </row>
    <row r="321" spans="2:32" outlineLevel="1">
      <c r="B321" s="175" t="str">
        <f>IF(OR('Inventaire M'!D99="Dispo/Liquidité Investie",'Inventaire M'!D99="Option/Future",'Inventaire M'!D99="TCN",'Inventaire M'!D99=""),"-",'Inventaire M'!A99)</f>
        <v>XS2783649176</v>
      </c>
      <c r="C321" s="175" t="str">
        <f>IF(OR('Inventaire M'!D99="Dispo/Liquidité Investie",'Inventaire M'!D99="Option/Future",'Inventaire M'!D99="TCN",'Inventaire M'!D99=""),"-",'Inventaire M'!B99)</f>
        <v>TENNET HOLDING BV PERP</v>
      </c>
      <c r="D321" s="175"/>
      <c r="E321" s="175" t="e">
        <f>IF(B321="-","",INDEX('Inventaire M'!$A$2:$AW$9305,MATCH(B321,'Inventaire M'!$A:$A,0)-1,MATCH("Cours EUR",'Inventaire M'!#REF!,0)))</f>
        <v>#REF!</v>
      </c>
      <c r="F321" s="175" t="str">
        <f>IF(B321="-","",IF(ISERROR(INDEX('Inventaire M-1'!$A$2:$AZ$9320,MATCH(B321,'Inventaire M-1'!$A:$A,0)-1,MATCH("Cours EUR",'Inventaire M-1'!#REF!,0))),"Buy",INDEX('Inventaire M-1'!$A$2:$AZ$9320,MATCH(B321,'Inventaire M-1'!$A:$A,0)-1,MATCH("Cours EUR",'Inventaire M-1'!#REF!,0))))</f>
        <v>Buy</v>
      </c>
      <c r="G321" s="175"/>
      <c r="H321" s="156" t="e">
        <f>IF(B321="-","",INDEX('Inventaire M'!$A$2:$AW$9305,MATCH(B321,'Inventaire M'!$A:$A,0)-1,MATCH("quantite",'Inventaire M'!#REF!,0)))</f>
        <v>#REF!</v>
      </c>
      <c r="I321" s="156" t="str">
        <f>IF(C321="-","",IF(ISERROR(INDEX('Inventaire M-1'!$A$2:$AZ$9320,MATCH(B321,'Inventaire M-1'!$A:$A,0)-1,MATCH("quantite",'Inventaire M-1'!#REF!,0))),"Buy",INDEX('Inventaire M-1'!$A$2:$AZ$9320,MATCH(B321,'Inventaire M-1'!$A:$A,0)-1,MATCH("quantite",'Inventaire M-1'!#REF!,0))))</f>
        <v>Buy</v>
      </c>
      <c r="J321" s="175"/>
      <c r="K321" s="155" t="e">
        <f>IF(B321="-","",INDEX('Inventaire M'!$A$2:$AW$9305,MATCH(B321,'Inventaire M'!$A:$A,0)-1,MATCH("poids",'Inventaire M'!#REF!,0)))</f>
        <v>#REF!</v>
      </c>
      <c r="L321" s="155" t="str">
        <f>IF(B321="-","",IF(ISERROR(INDEX('Inventaire M-1'!$A$2:$AZ$9320,MATCH(B321,'Inventaire M-1'!$A:$A,0)-1,MATCH("poids",'Inventaire M-1'!#REF!,0))),"Buy",INDEX('Inventaire M-1'!$A$2:$AZ$9320,MATCH(B321,'Inventaire M-1'!$A:$A,0)-1,MATCH("poids",'Inventaire M-1'!#REF!,0))))</f>
        <v>Buy</v>
      </c>
      <c r="M321" s="175"/>
      <c r="N321" s="157" t="str">
        <f t="shared" si="30"/>
        <v>0</v>
      </c>
      <c r="O321" s="98" t="str">
        <f t="shared" si="31"/>
        <v/>
      </c>
      <c r="P321" s="80" t="str">
        <f t="shared" si="32"/>
        <v>TENNET HOLDING BV PERP</v>
      </c>
      <c r="Q321" s="75">
        <v>2.9700000000000001E-8</v>
      </c>
      <c r="R321" s="175" t="str">
        <f>IF(OR('Inventaire M-1'!D74="Dispo/Liquidité Investie",'Inventaire M-1'!D74="Option/Future",'Inventaire M-1'!D74="TCN",'Inventaire M-1'!D74=""),"-",'Inventaire M-1'!A74)</f>
        <v>XS2431015655</v>
      </c>
      <c r="S321" s="175" t="str">
        <f>IF(OR('Inventaire M-1'!D74="Dispo/Liquidité Investie",'Inventaire M-1'!D74="Option/Future",'Inventaire M-1'!D74="TCN",'Inventaire M-1'!D74=""),"-",'Inventaire M-1'!B74)</f>
        <v>VZ SECURED FINANCING BV 3.5 15/01/2032</v>
      </c>
      <c r="T321" s="175"/>
      <c r="U321" s="175" t="e">
        <f>IF(R321="-","",INDEX('Inventaire M-1'!$A$2:$AG$9334,MATCH(R321,'Inventaire M-1'!$A:$A,0)-1,MATCH("Cours EUR",'Inventaire M-1'!#REF!,0)))</f>
        <v>#REF!</v>
      </c>
      <c r="V321" s="175" t="str">
        <f>IF(R321="-","",IF(ISERROR(INDEX('Inventaire M'!$A$2:$AD$9319,MATCH(R321,'Inventaire M'!$A:$A,0)-1,MATCH("Cours EUR",'Inventaire M'!#REF!,0))),"Sell",INDEX('Inventaire M'!$A$2:$AD$9319,MATCH(R321,'Inventaire M'!$A:$A,0)-1,MATCH("Cours EUR",'Inventaire M'!#REF!,0))))</f>
        <v>Sell</v>
      </c>
      <c r="W321" s="175"/>
      <c r="X321" s="156" t="e">
        <f>IF(R321="-","",INDEX('Inventaire M-1'!$A$2:$AG$9334,MATCH(R321,'Inventaire M-1'!$A:$A,0)-1,MATCH("quantite",'Inventaire M-1'!#REF!,0)))</f>
        <v>#REF!</v>
      </c>
      <c r="Y321" s="156" t="str">
        <f>IF(S321="-","",IF(ISERROR(INDEX('Inventaire M'!$A$2:$AD$9319,MATCH(R321,'Inventaire M'!$A:$A,0)-1,MATCH("quantite",'Inventaire M'!#REF!,0))),"Sell",INDEX('Inventaire M'!$A$2:$AD$9319,MATCH(R321,'Inventaire M'!$A:$A,0)-1,MATCH("quantite",'Inventaire M'!#REF!,0))))</f>
        <v>Sell</v>
      </c>
      <c r="Z321" s="175"/>
      <c r="AA321" s="155" t="e">
        <f>IF(R321="-","",INDEX('Inventaire M-1'!$A$2:$AG$9334,MATCH(R321,'Inventaire M-1'!$A:$A,0)-1,MATCH("poids",'Inventaire M-1'!#REF!,0)))</f>
        <v>#REF!</v>
      </c>
      <c r="AB321" s="155" t="str">
        <f>IF(R321="-","",IF(ISERROR(INDEX('Inventaire M'!$A$2:$AD$9319,MATCH(R321,'Inventaire M'!$A:$A,0)-1,MATCH("poids",'Inventaire M'!#REF!,0))),"Sell",INDEX('Inventaire M'!$A$2:$AD$9319,MATCH(R321,'Inventaire M'!$A:$A,0)-1,MATCH("poids",'Inventaire M'!#REF!,0))))</f>
        <v>Sell</v>
      </c>
      <c r="AC321" s="175"/>
      <c r="AD321" s="157" t="str">
        <f t="shared" si="33"/>
        <v>0</v>
      </c>
      <c r="AE321" s="98" t="str">
        <f t="shared" si="34"/>
        <v/>
      </c>
      <c r="AF321" s="80" t="str">
        <f t="shared" si="35"/>
        <v>VZ SECURED FINANCING BV 3.5 15/01/2032</v>
      </c>
    </row>
    <row r="322" spans="2:32" outlineLevel="1">
      <c r="B322" s="175" t="str">
        <f>IF(OR('Inventaire M'!D100="Dispo/Liquidité Investie",'Inventaire M'!D100="Option/Future",'Inventaire M'!D100="TCN",'Inventaire M'!D100=""),"-",'Inventaire M'!A100)</f>
        <v>XS2792575453</v>
      </c>
      <c r="C322" s="175" t="str">
        <f>IF(OR('Inventaire M'!D100="Dispo/Liquidité Investie",'Inventaire M'!D100="Option/Future",'Inventaire M'!D100="TCN",'Inventaire M'!D100=""),"-",'Inventaire M'!B100)</f>
        <v>CT INVESTMENT GMBH 6.375 15/04/2030</v>
      </c>
      <c r="D322" s="175"/>
      <c r="E322" s="175" t="e">
        <f>IF(B322="-","",INDEX('Inventaire M'!$A$2:$AW$9305,MATCH(B322,'Inventaire M'!$A:$A,0)-1,MATCH("Cours EUR",'Inventaire M'!#REF!,0)))</f>
        <v>#REF!</v>
      </c>
      <c r="F322" s="175" t="str">
        <f>IF(B322="-","",IF(ISERROR(INDEX('Inventaire M-1'!$A$2:$AZ$9320,MATCH(B322,'Inventaire M-1'!$A:$A,0)-1,MATCH("Cours EUR",'Inventaire M-1'!#REF!,0))),"Buy",INDEX('Inventaire M-1'!$A$2:$AZ$9320,MATCH(B322,'Inventaire M-1'!$A:$A,0)-1,MATCH("Cours EUR",'Inventaire M-1'!#REF!,0))))</f>
        <v>Buy</v>
      </c>
      <c r="G322" s="175"/>
      <c r="H322" s="156" t="e">
        <f>IF(B322="-","",INDEX('Inventaire M'!$A$2:$AW$9305,MATCH(B322,'Inventaire M'!$A:$A,0)-1,MATCH("quantite",'Inventaire M'!#REF!,0)))</f>
        <v>#REF!</v>
      </c>
      <c r="I322" s="156" t="str">
        <f>IF(C322="-","",IF(ISERROR(INDEX('Inventaire M-1'!$A$2:$AZ$9320,MATCH(B322,'Inventaire M-1'!$A:$A,0)-1,MATCH("quantite",'Inventaire M-1'!#REF!,0))),"Buy",INDEX('Inventaire M-1'!$A$2:$AZ$9320,MATCH(B322,'Inventaire M-1'!$A:$A,0)-1,MATCH("quantite",'Inventaire M-1'!#REF!,0))))</f>
        <v>Buy</v>
      </c>
      <c r="J322" s="175"/>
      <c r="K322" s="155" t="e">
        <f>IF(B322="-","",INDEX('Inventaire M'!$A$2:$AW$9305,MATCH(B322,'Inventaire M'!$A:$A,0)-1,MATCH("poids",'Inventaire M'!#REF!,0)))</f>
        <v>#REF!</v>
      </c>
      <c r="L322" s="155" t="str">
        <f>IF(B322="-","",IF(ISERROR(INDEX('Inventaire M-1'!$A$2:$AZ$9320,MATCH(B322,'Inventaire M-1'!$A:$A,0)-1,MATCH("poids",'Inventaire M-1'!#REF!,0))),"Buy",INDEX('Inventaire M-1'!$A$2:$AZ$9320,MATCH(B322,'Inventaire M-1'!$A:$A,0)-1,MATCH("poids",'Inventaire M-1'!#REF!,0))))</f>
        <v>Buy</v>
      </c>
      <c r="M322" s="175"/>
      <c r="N322" s="157" t="str">
        <f t="shared" si="30"/>
        <v>0</v>
      </c>
      <c r="O322" s="98" t="str">
        <f t="shared" si="31"/>
        <v/>
      </c>
      <c r="P322" s="80" t="str">
        <f t="shared" si="32"/>
        <v>CT INVESTMENT GMBH 6.375 15/04/2030</v>
      </c>
      <c r="Q322" s="75">
        <v>2.9799999999999999E-8</v>
      </c>
      <c r="R322" s="175" t="str">
        <f>IF(OR('Inventaire M-1'!D75="Dispo/Liquidité Investie",'Inventaire M-1'!D75="Option/Future",'Inventaire M-1'!D75="TCN",'Inventaire M-1'!D75=""),"-",'Inventaire M-1'!A75)</f>
        <v>XS2462605671</v>
      </c>
      <c r="S322" s="175" t="str">
        <f>IF(OR('Inventaire M-1'!D75="Dispo/Liquidité Investie",'Inventaire M-1'!D75="Option/Future",'Inventaire M-1'!D75="TCN",'Inventaire M-1'!D75=""),"-",'Inventaire M-1'!B75)</f>
        <v>TELEFONICA EUROPE BV PERP</v>
      </c>
      <c r="T322" s="175"/>
      <c r="U322" s="175" t="e">
        <f>IF(R322="-","",INDEX('Inventaire M-1'!$A$2:$AG$9334,MATCH(R322,'Inventaire M-1'!$A:$A,0)-1,MATCH("Cours EUR",'Inventaire M-1'!#REF!,0)))</f>
        <v>#REF!</v>
      </c>
      <c r="V322" s="175" t="str">
        <f>IF(R322="-","",IF(ISERROR(INDEX('Inventaire M'!$A$2:$AD$9319,MATCH(R322,'Inventaire M'!$A:$A,0)-1,MATCH("Cours EUR",'Inventaire M'!#REF!,0))),"Sell",INDEX('Inventaire M'!$A$2:$AD$9319,MATCH(R322,'Inventaire M'!$A:$A,0)-1,MATCH("Cours EUR",'Inventaire M'!#REF!,0))))</f>
        <v>Sell</v>
      </c>
      <c r="W322" s="175"/>
      <c r="X322" s="156" t="e">
        <f>IF(R322="-","",INDEX('Inventaire M-1'!$A$2:$AG$9334,MATCH(R322,'Inventaire M-1'!$A:$A,0)-1,MATCH("quantite",'Inventaire M-1'!#REF!,0)))</f>
        <v>#REF!</v>
      </c>
      <c r="Y322" s="156" t="str">
        <f>IF(S322="-","",IF(ISERROR(INDEX('Inventaire M'!$A$2:$AD$9319,MATCH(R322,'Inventaire M'!$A:$A,0)-1,MATCH("quantite",'Inventaire M'!#REF!,0))),"Sell",INDEX('Inventaire M'!$A$2:$AD$9319,MATCH(R322,'Inventaire M'!$A:$A,0)-1,MATCH("quantite",'Inventaire M'!#REF!,0))))</f>
        <v>Sell</v>
      </c>
      <c r="Z322" s="175"/>
      <c r="AA322" s="155" t="e">
        <f>IF(R322="-","",INDEX('Inventaire M-1'!$A$2:$AG$9334,MATCH(R322,'Inventaire M-1'!$A:$A,0)-1,MATCH("poids",'Inventaire M-1'!#REF!,0)))</f>
        <v>#REF!</v>
      </c>
      <c r="AB322" s="155" t="str">
        <f>IF(R322="-","",IF(ISERROR(INDEX('Inventaire M'!$A$2:$AD$9319,MATCH(R322,'Inventaire M'!$A:$A,0)-1,MATCH("poids",'Inventaire M'!#REF!,0))),"Sell",INDEX('Inventaire M'!$A$2:$AD$9319,MATCH(R322,'Inventaire M'!$A:$A,0)-1,MATCH("poids",'Inventaire M'!#REF!,0))))</f>
        <v>Sell</v>
      </c>
      <c r="AC322" s="175"/>
      <c r="AD322" s="157" t="str">
        <f t="shared" si="33"/>
        <v>0</v>
      </c>
      <c r="AE322" s="98" t="str">
        <f t="shared" si="34"/>
        <v/>
      </c>
      <c r="AF322" s="80" t="str">
        <f t="shared" si="35"/>
        <v>TELEFONICA EUROPE BV PERP</v>
      </c>
    </row>
    <row r="323" spans="2:32" outlineLevel="1">
      <c r="B323" s="175" t="str">
        <f>IF(OR('Inventaire M'!D101="Dispo/Liquidité Investie",'Inventaire M'!D101="Option/Future",'Inventaire M'!D101="TCN",'Inventaire M'!D101=""),"-",'Inventaire M'!A101)</f>
        <v>XS2794589403</v>
      </c>
      <c r="C323" s="175" t="str">
        <f>IF(OR('Inventaire M'!D101="Dispo/Liquidité Investie",'Inventaire M'!D101="Option/Future",'Inventaire M'!D101="TCN",'Inventaire M'!D101=""),"-",'Inventaire M'!B101)</f>
        <v>BRITISH TELECOMMUNICATIONS PLC 03/10/2054</v>
      </c>
      <c r="D323" s="175"/>
      <c r="E323" s="175" t="e">
        <f>IF(B323="-","",INDEX('Inventaire M'!$A$2:$AW$9305,MATCH(B323,'Inventaire M'!$A:$A,0)-1,MATCH("Cours EUR",'Inventaire M'!#REF!,0)))</f>
        <v>#REF!</v>
      </c>
      <c r="F323" s="175" t="str">
        <f>IF(B323="-","",IF(ISERROR(INDEX('Inventaire M-1'!$A$2:$AZ$9320,MATCH(B323,'Inventaire M-1'!$A:$A,0)-1,MATCH("Cours EUR",'Inventaire M-1'!#REF!,0))),"Buy",INDEX('Inventaire M-1'!$A$2:$AZ$9320,MATCH(B323,'Inventaire M-1'!$A:$A,0)-1,MATCH("Cours EUR",'Inventaire M-1'!#REF!,0))))</f>
        <v>Buy</v>
      </c>
      <c r="G323" s="175"/>
      <c r="H323" s="156" t="e">
        <f>IF(B323="-","",INDEX('Inventaire M'!$A$2:$AW$9305,MATCH(B323,'Inventaire M'!$A:$A,0)-1,MATCH("quantite",'Inventaire M'!#REF!,0)))</f>
        <v>#REF!</v>
      </c>
      <c r="I323" s="156" t="str">
        <f>IF(C323="-","",IF(ISERROR(INDEX('Inventaire M-1'!$A$2:$AZ$9320,MATCH(B323,'Inventaire M-1'!$A:$A,0)-1,MATCH("quantite",'Inventaire M-1'!#REF!,0))),"Buy",INDEX('Inventaire M-1'!$A$2:$AZ$9320,MATCH(B323,'Inventaire M-1'!$A:$A,0)-1,MATCH("quantite",'Inventaire M-1'!#REF!,0))))</f>
        <v>Buy</v>
      </c>
      <c r="J323" s="175"/>
      <c r="K323" s="155" t="e">
        <f>IF(B323="-","",INDEX('Inventaire M'!$A$2:$AW$9305,MATCH(B323,'Inventaire M'!$A:$A,0)-1,MATCH("poids",'Inventaire M'!#REF!,0)))</f>
        <v>#REF!</v>
      </c>
      <c r="L323" s="155" t="str">
        <f>IF(B323="-","",IF(ISERROR(INDEX('Inventaire M-1'!$A$2:$AZ$9320,MATCH(B323,'Inventaire M-1'!$A:$A,0)-1,MATCH("poids",'Inventaire M-1'!#REF!,0))),"Buy",INDEX('Inventaire M-1'!$A$2:$AZ$9320,MATCH(B323,'Inventaire M-1'!$A:$A,0)-1,MATCH("poids",'Inventaire M-1'!#REF!,0))))</f>
        <v>Buy</v>
      </c>
      <c r="M323" s="175"/>
      <c r="N323" s="157" t="str">
        <f t="shared" si="30"/>
        <v>0</v>
      </c>
      <c r="O323" s="98" t="str">
        <f t="shared" si="31"/>
        <v/>
      </c>
      <c r="P323" s="80" t="str">
        <f t="shared" si="32"/>
        <v>BRITISH TELECOMMUNICATIONS PLC 03/10/2054</v>
      </c>
      <c r="Q323" s="75">
        <v>2.9900000000000003E-8</v>
      </c>
      <c r="R323" s="175" t="str">
        <f>IF(OR('Inventaire M-1'!D76="Dispo/Liquidité Investie",'Inventaire M-1'!D76="Option/Future",'Inventaire M-1'!D76="TCN",'Inventaire M-1'!D76=""),"-",'Inventaire M-1'!A76)</f>
        <v>XS2532478430</v>
      </c>
      <c r="S323" s="175" t="str">
        <f>IF(OR('Inventaire M-1'!D76="Dispo/Liquidité Investie",'Inventaire M-1'!D76="Option/Future",'Inventaire M-1'!D76="TCN",'Inventaire M-1'!D76=""),"-",'Inventaire M-1'!B76)</f>
        <v>TEREOS FINANCE GROUPE I SA 7.25 15/04/2028</v>
      </c>
      <c r="T323" s="175"/>
      <c r="U323" s="175" t="e">
        <f>IF(R323="-","",INDEX('Inventaire M-1'!$A$2:$AG$9334,MATCH(R323,'Inventaire M-1'!$A:$A,0)-1,MATCH("Cours EUR",'Inventaire M-1'!#REF!,0)))</f>
        <v>#REF!</v>
      </c>
      <c r="V323" s="175" t="str">
        <f>IF(R323="-","",IF(ISERROR(INDEX('Inventaire M'!$A$2:$AD$9319,MATCH(R323,'Inventaire M'!$A:$A,0)-1,MATCH("Cours EUR",'Inventaire M'!#REF!,0))),"Sell",INDEX('Inventaire M'!$A$2:$AD$9319,MATCH(R323,'Inventaire M'!$A:$A,0)-1,MATCH("Cours EUR",'Inventaire M'!#REF!,0))))</f>
        <v>Sell</v>
      </c>
      <c r="W323" s="175"/>
      <c r="X323" s="156" t="e">
        <f>IF(R323="-","",INDEX('Inventaire M-1'!$A$2:$AG$9334,MATCH(R323,'Inventaire M-1'!$A:$A,0)-1,MATCH("quantite",'Inventaire M-1'!#REF!,0)))</f>
        <v>#REF!</v>
      </c>
      <c r="Y323" s="156" t="str">
        <f>IF(S323="-","",IF(ISERROR(INDEX('Inventaire M'!$A$2:$AD$9319,MATCH(R323,'Inventaire M'!$A:$A,0)-1,MATCH("quantite",'Inventaire M'!#REF!,0))),"Sell",INDEX('Inventaire M'!$A$2:$AD$9319,MATCH(R323,'Inventaire M'!$A:$A,0)-1,MATCH("quantite",'Inventaire M'!#REF!,0))))</f>
        <v>Sell</v>
      </c>
      <c r="Z323" s="175"/>
      <c r="AA323" s="155" t="e">
        <f>IF(R323="-","",INDEX('Inventaire M-1'!$A$2:$AG$9334,MATCH(R323,'Inventaire M-1'!$A:$A,0)-1,MATCH("poids",'Inventaire M-1'!#REF!,0)))</f>
        <v>#REF!</v>
      </c>
      <c r="AB323" s="155" t="str">
        <f>IF(R323="-","",IF(ISERROR(INDEX('Inventaire M'!$A$2:$AD$9319,MATCH(R323,'Inventaire M'!$A:$A,0)-1,MATCH("poids",'Inventaire M'!#REF!,0))),"Sell",INDEX('Inventaire M'!$A$2:$AD$9319,MATCH(R323,'Inventaire M'!$A:$A,0)-1,MATCH("poids",'Inventaire M'!#REF!,0))))</f>
        <v>Sell</v>
      </c>
      <c r="AC323" s="175"/>
      <c r="AD323" s="157" t="str">
        <f t="shared" si="33"/>
        <v>0</v>
      </c>
      <c r="AE323" s="98" t="str">
        <f t="shared" si="34"/>
        <v/>
      </c>
      <c r="AF323" s="80" t="str">
        <f t="shared" si="35"/>
        <v>TEREOS FINANCE GROUPE I SA 7.25 15/04/2028</v>
      </c>
    </row>
    <row r="324" spans="2:32" outlineLevel="1">
      <c r="B324" s="175" t="str">
        <f>IF(OR('Inventaire M'!D102="Dispo/Liquidité Investie",'Inventaire M'!D102="Option/Future",'Inventaire M'!D102="TCN",'Inventaire M'!D102=""),"-",'Inventaire M'!A102)</f>
        <v>XS2796600307</v>
      </c>
      <c r="C324" s="175" t="str">
        <f>IF(OR('Inventaire M'!D102="Dispo/Liquidité Investie",'Inventaire M'!D102="Option/Future",'Inventaire M'!D102="TCN",'Inventaire M'!D102=""),"-",'Inventaire M'!B102)</f>
        <v>VMED O2 UK FINANCING I PLC 5.625 15/04/2032</v>
      </c>
      <c r="D324" s="175"/>
      <c r="E324" s="175" t="e">
        <f>IF(B324="-","",INDEX('Inventaire M'!$A$2:$AW$9305,MATCH(B324,'Inventaire M'!$A:$A,0)-1,MATCH("Cours EUR",'Inventaire M'!#REF!,0)))</f>
        <v>#REF!</v>
      </c>
      <c r="F324" s="175" t="str">
        <f>IF(B324="-","",IF(ISERROR(INDEX('Inventaire M-1'!$A$2:$AZ$9320,MATCH(B324,'Inventaire M-1'!$A:$A,0)-1,MATCH("Cours EUR",'Inventaire M-1'!#REF!,0))),"Buy",INDEX('Inventaire M-1'!$A$2:$AZ$9320,MATCH(B324,'Inventaire M-1'!$A:$A,0)-1,MATCH("Cours EUR",'Inventaire M-1'!#REF!,0))))</f>
        <v>Buy</v>
      </c>
      <c r="G324" s="175"/>
      <c r="H324" s="156" t="e">
        <f>IF(B324="-","",INDEX('Inventaire M'!$A$2:$AW$9305,MATCH(B324,'Inventaire M'!$A:$A,0)-1,MATCH("quantite",'Inventaire M'!#REF!,0)))</f>
        <v>#REF!</v>
      </c>
      <c r="I324" s="156" t="str">
        <f>IF(C324="-","",IF(ISERROR(INDEX('Inventaire M-1'!$A$2:$AZ$9320,MATCH(B324,'Inventaire M-1'!$A:$A,0)-1,MATCH("quantite",'Inventaire M-1'!#REF!,0))),"Buy",INDEX('Inventaire M-1'!$A$2:$AZ$9320,MATCH(B324,'Inventaire M-1'!$A:$A,0)-1,MATCH("quantite",'Inventaire M-1'!#REF!,0))))</f>
        <v>Buy</v>
      </c>
      <c r="J324" s="175"/>
      <c r="K324" s="155" t="e">
        <f>IF(B324="-","",INDEX('Inventaire M'!$A$2:$AW$9305,MATCH(B324,'Inventaire M'!$A:$A,0)-1,MATCH("poids",'Inventaire M'!#REF!,0)))</f>
        <v>#REF!</v>
      </c>
      <c r="L324" s="155" t="str">
        <f>IF(B324="-","",IF(ISERROR(INDEX('Inventaire M-1'!$A$2:$AZ$9320,MATCH(B324,'Inventaire M-1'!$A:$A,0)-1,MATCH("poids",'Inventaire M-1'!#REF!,0))),"Buy",INDEX('Inventaire M-1'!$A$2:$AZ$9320,MATCH(B324,'Inventaire M-1'!$A:$A,0)-1,MATCH("poids",'Inventaire M-1'!#REF!,0))))</f>
        <v>Buy</v>
      </c>
      <c r="M324" s="175"/>
      <c r="N324" s="157" t="str">
        <f t="shared" si="30"/>
        <v>0</v>
      </c>
      <c r="O324" s="98" t="str">
        <f t="shared" si="31"/>
        <v/>
      </c>
      <c r="P324" s="80" t="str">
        <f t="shared" si="32"/>
        <v>VMED O2 UK FINANCING I PLC 5.625 15/04/2032</v>
      </c>
      <c r="Q324" s="75">
        <v>2.9999999999999997E-8</v>
      </c>
      <c r="R324" s="175" t="str">
        <f>IF(OR('Inventaire M-1'!D77="Dispo/Liquidité Investie",'Inventaire M-1'!D77="Option/Future",'Inventaire M-1'!D77="TCN",'Inventaire M-1'!D77=""),"-",'Inventaire M-1'!A77)</f>
        <v>XS2550380104</v>
      </c>
      <c r="S324" s="175" t="str">
        <f>IF(OR('Inventaire M-1'!D77="Dispo/Liquidité Investie",'Inventaire M-1'!D77="Option/Future",'Inventaire M-1'!D77="TCN",'Inventaire M-1'!D77=""),"-",'Inventaire M-1'!B77)</f>
        <v>CIRSA FINANCE INTERNATIONAL SARL 10.375 30/11/2027</v>
      </c>
      <c r="T324" s="175"/>
      <c r="U324" s="175" t="e">
        <f>IF(R324="-","",INDEX('Inventaire M-1'!$A$2:$AG$9334,MATCH(R324,'Inventaire M-1'!$A:$A,0)-1,MATCH("Cours EUR",'Inventaire M-1'!#REF!,0)))</f>
        <v>#REF!</v>
      </c>
      <c r="V324" s="175" t="str">
        <f>IF(R324="-","",IF(ISERROR(INDEX('Inventaire M'!$A$2:$AD$9319,MATCH(R324,'Inventaire M'!$A:$A,0)-1,MATCH("Cours EUR",'Inventaire M'!#REF!,0))),"Sell",INDEX('Inventaire M'!$A$2:$AD$9319,MATCH(R324,'Inventaire M'!$A:$A,0)-1,MATCH("Cours EUR",'Inventaire M'!#REF!,0))))</f>
        <v>Sell</v>
      </c>
      <c r="W324" s="175"/>
      <c r="X324" s="156" t="e">
        <f>IF(R324="-","",INDEX('Inventaire M-1'!$A$2:$AG$9334,MATCH(R324,'Inventaire M-1'!$A:$A,0)-1,MATCH("quantite",'Inventaire M-1'!#REF!,0)))</f>
        <v>#REF!</v>
      </c>
      <c r="Y324" s="156" t="str">
        <f>IF(S324="-","",IF(ISERROR(INDEX('Inventaire M'!$A$2:$AD$9319,MATCH(R324,'Inventaire M'!$A:$A,0)-1,MATCH("quantite",'Inventaire M'!#REF!,0))),"Sell",INDEX('Inventaire M'!$A$2:$AD$9319,MATCH(R324,'Inventaire M'!$A:$A,0)-1,MATCH("quantite",'Inventaire M'!#REF!,0))))</f>
        <v>Sell</v>
      </c>
      <c r="Z324" s="175"/>
      <c r="AA324" s="155" t="e">
        <f>IF(R324="-","",INDEX('Inventaire M-1'!$A$2:$AG$9334,MATCH(R324,'Inventaire M-1'!$A:$A,0)-1,MATCH("poids",'Inventaire M-1'!#REF!,0)))</f>
        <v>#REF!</v>
      </c>
      <c r="AB324" s="155" t="str">
        <f>IF(R324="-","",IF(ISERROR(INDEX('Inventaire M'!$A$2:$AD$9319,MATCH(R324,'Inventaire M'!$A:$A,0)-1,MATCH("poids",'Inventaire M'!#REF!,0))),"Sell",INDEX('Inventaire M'!$A$2:$AD$9319,MATCH(R324,'Inventaire M'!$A:$A,0)-1,MATCH("poids",'Inventaire M'!#REF!,0))))</f>
        <v>Sell</v>
      </c>
      <c r="AC324" s="175"/>
      <c r="AD324" s="157" t="str">
        <f t="shared" si="33"/>
        <v>0</v>
      </c>
      <c r="AE324" s="98" t="str">
        <f t="shared" si="34"/>
        <v/>
      </c>
      <c r="AF324" s="80" t="str">
        <f t="shared" si="35"/>
        <v>CIRSA FINANCE INTERNATIONAL SARL 10.375 30/11/2027</v>
      </c>
    </row>
    <row r="325" spans="2:32" outlineLevel="1">
      <c r="B325" s="175" t="str">
        <f>IF(OR('Inventaire M'!D103="Dispo/Liquidité Investie",'Inventaire M'!D103="Option/Future",'Inventaire M'!D103="TCN",'Inventaire M'!D103=""),"-",'Inventaire M'!A103)</f>
        <v>XS2796660384</v>
      </c>
      <c r="C325" s="175" t="str">
        <f>IF(OR('Inventaire M'!D103="Dispo/Liquidité Investie",'Inventaire M'!D103="Option/Future",'Inventaire M'!D103="TCN",'Inventaire M'!D103=""),"-",'Inventaire M'!B103)</f>
        <v>EUTELSAT SA 9.75 13/04/2029</v>
      </c>
      <c r="D325" s="175"/>
      <c r="E325" s="175" t="e">
        <f>IF(B325="-","",INDEX('Inventaire M'!$A$2:$AW$9305,MATCH(B325,'Inventaire M'!$A:$A,0)-1,MATCH("Cours EUR",'Inventaire M'!#REF!,0)))</f>
        <v>#REF!</v>
      </c>
      <c r="F325" s="175" t="str">
        <f>IF(B325="-","",IF(ISERROR(INDEX('Inventaire M-1'!$A$2:$AZ$9320,MATCH(B325,'Inventaire M-1'!$A:$A,0)-1,MATCH("Cours EUR",'Inventaire M-1'!#REF!,0))),"Buy",INDEX('Inventaire M-1'!$A$2:$AZ$9320,MATCH(B325,'Inventaire M-1'!$A:$A,0)-1,MATCH("Cours EUR",'Inventaire M-1'!#REF!,0))))</f>
        <v>Buy</v>
      </c>
      <c r="G325" s="175"/>
      <c r="H325" s="156" t="e">
        <f>IF(B325="-","",INDEX('Inventaire M'!$A$2:$AW$9305,MATCH(B325,'Inventaire M'!$A:$A,0)-1,MATCH("quantite",'Inventaire M'!#REF!,0)))</f>
        <v>#REF!</v>
      </c>
      <c r="I325" s="156" t="str">
        <f>IF(C325="-","",IF(ISERROR(INDEX('Inventaire M-1'!$A$2:$AZ$9320,MATCH(B325,'Inventaire M-1'!$A:$A,0)-1,MATCH("quantite",'Inventaire M-1'!#REF!,0))),"Buy",INDEX('Inventaire M-1'!$A$2:$AZ$9320,MATCH(B325,'Inventaire M-1'!$A:$A,0)-1,MATCH("quantite",'Inventaire M-1'!#REF!,0))))</f>
        <v>Buy</v>
      </c>
      <c r="J325" s="175"/>
      <c r="K325" s="155" t="e">
        <f>IF(B325="-","",INDEX('Inventaire M'!$A$2:$AW$9305,MATCH(B325,'Inventaire M'!$A:$A,0)-1,MATCH("poids",'Inventaire M'!#REF!,0)))</f>
        <v>#REF!</v>
      </c>
      <c r="L325" s="155" t="str">
        <f>IF(B325="-","",IF(ISERROR(INDEX('Inventaire M-1'!$A$2:$AZ$9320,MATCH(B325,'Inventaire M-1'!$A:$A,0)-1,MATCH("poids",'Inventaire M-1'!#REF!,0))),"Buy",INDEX('Inventaire M-1'!$A$2:$AZ$9320,MATCH(B325,'Inventaire M-1'!$A:$A,0)-1,MATCH("poids",'Inventaire M-1'!#REF!,0))))</f>
        <v>Buy</v>
      </c>
      <c r="M325" s="175"/>
      <c r="N325" s="157" t="str">
        <f t="shared" si="30"/>
        <v>0</v>
      </c>
      <c r="O325" s="98" t="str">
        <f t="shared" si="31"/>
        <v/>
      </c>
      <c r="P325" s="80" t="str">
        <f t="shared" si="32"/>
        <v>EUTELSAT SA 9.75 13/04/2029</v>
      </c>
      <c r="Q325" s="75">
        <v>3.0099999999999998E-8</v>
      </c>
      <c r="R325" s="175" t="str">
        <f>IF(OR('Inventaire M-1'!D78="Dispo/Liquidité Investie",'Inventaire M-1'!D78="Option/Future",'Inventaire M-1'!D78="TCN",'Inventaire M-1'!D78=""),"-",'Inventaire M-1'!A78)</f>
        <v>XS2576550243</v>
      </c>
      <c r="S325" s="175" t="str">
        <f>IF(OR('Inventaire M-1'!D78="Dispo/Liquidité Investie",'Inventaire M-1'!D78="Option/Future",'Inventaire M-1'!D78="TCN",'Inventaire M-1'!D78=""),"-",'Inventaire M-1'!B78)</f>
        <v>ENEL SPA NC8.5 PERP</v>
      </c>
      <c r="T325" s="175"/>
      <c r="U325" s="175" t="e">
        <f>IF(R325="-","",INDEX('Inventaire M-1'!$A$2:$AG$9334,MATCH(R325,'Inventaire M-1'!$A:$A,0)-1,MATCH("Cours EUR",'Inventaire M-1'!#REF!,0)))</f>
        <v>#REF!</v>
      </c>
      <c r="V325" s="175" t="str">
        <f>IF(R325="-","",IF(ISERROR(INDEX('Inventaire M'!$A$2:$AD$9319,MATCH(R325,'Inventaire M'!$A:$A,0)-1,MATCH("Cours EUR",'Inventaire M'!#REF!,0))),"Sell",INDEX('Inventaire M'!$A$2:$AD$9319,MATCH(R325,'Inventaire M'!$A:$A,0)-1,MATCH("Cours EUR",'Inventaire M'!#REF!,0))))</f>
        <v>Sell</v>
      </c>
      <c r="W325" s="175"/>
      <c r="X325" s="156" t="e">
        <f>IF(R325="-","",INDEX('Inventaire M-1'!$A$2:$AG$9334,MATCH(R325,'Inventaire M-1'!$A:$A,0)-1,MATCH("quantite",'Inventaire M-1'!#REF!,0)))</f>
        <v>#REF!</v>
      </c>
      <c r="Y325" s="156" t="str">
        <f>IF(S325="-","",IF(ISERROR(INDEX('Inventaire M'!$A$2:$AD$9319,MATCH(R325,'Inventaire M'!$A:$A,0)-1,MATCH("quantite",'Inventaire M'!#REF!,0))),"Sell",INDEX('Inventaire M'!$A$2:$AD$9319,MATCH(R325,'Inventaire M'!$A:$A,0)-1,MATCH("quantite",'Inventaire M'!#REF!,0))))</f>
        <v>Sell</v>
      </c>
      <c r="Z325" s="175"/>
      <c r="AA325" s="155" t="e">
        <f>IF(R325="-","",INDEX('Inventaire M-1'!$A$2:$AG$9334,MATCH(R325,'Inventaire M-1'!$A:$A,0)-1,MATCH("poids",'Inventaire M-1'!#REF!,0)))</f>
        <v>#REF!</v>
      </c>
      <c r="AB325" s="155" t="str">
        <f>IF(R325="-","",IF(ISERROR(INDEX('Inventaire M'!$A$2:$AD$9319,MATCH(R325,'Inventaire M'!$A:$A,0)-1,MATCH("poids",'Inventaire M'!#REF!,0))),"Sell",INDEX('Inventaire M'!$A$2:$AD$9319,MATCH(R325,'Inventaire M'!$A:$A,0)-1,MATCH("poids",'Inventaire M'!#REF!,0))))</f>
        <v>Sell</v>
      </c>
      <c r="AC325" s="175"/>
      <c r="AD325" s="157" t="str">
        <f t="shared" si="33"/>
        <v>0</v>
      </c>
      <c r="AE325" s="98" t="str">
        <f t="shared" si="34"/>
        <v/>
      </c>
      <c r="AF325" s="80" t="str">
        <f t="shared" si="35"/>
        <v>ENEL SPA NC8.5 PERP</v>
      </c>
    </row>
    <row r="326" spans="2:32" outlineLevel="1">
      <c r="B326" s="175" t="str">
        <f>IF(OR('Inventaire M'!D104="Dispo/Liquidité Investie",'Inventaire M'!D104="Option/Future",'Inventaire M'!D104="TCN",'Inventaire M'!D104=""),"-",'Inventaire M'!A104)</f>
        <v>XS2797353401</v>
      </c>
      <c r="C326" s="175" t="str">
        <f>IF(OR('Inventaire M'!D104="Dispo/Liquidité Investie",'Inventaire M'!D104="Option/Future",'Inventaire M'!D104="TCN",'Inventaire M'!D104=""),"-",'Inventaire M'!B104)</f>
        <v>NEOPHARMED GENTILI SPA 7.125 08/04/2030</v>
      </c>
      <c r="D326" s="175"/>
      <c r="E326" s="175" t="e">
        <f>IF(B326="-","",INDEX('Inventaire M'!$A$2:$AW$9305,MATCH(B326,'Inventaire M'!$A:$A,0)-1,MATCH("Cours EUR",'Inventaire M'!#REF!,0)))</f>
        <v>#REF!</v>
      </c>
      <c r="F326" s="175" t="str">
        <f>IF(B326="-","",IF(ISERROR(INDEX('Inventaire M-1'!$A$2:$AZ$9320,MATCH(B326,'Inventaire M-1'!$A:$A,0)-1,MATCH("Cours EUR",'Inventaire M-1'!#REF!,0))),"Buy",INDEX('Inventaire M-1'!$A$2:$AZ$9320,MATCH(B326,'Inventaire M-1'!$A:$A,0)-1,MATCH("Cours EUR",'Inventaire M-1'!#REF!,0))))</f>
        <v>Buy</v>
      </c>
      <c r="G326" s="175"/>
      <c r="H326" s="156" t="e">
        <f>IF(B326="-","",INDEX('Inventaire M'!$A$2:$AW$9305,MATCH(B326,'Inventaire M'!$A:$A,0)-1,MATCH("quantite",'Inventaire M'!#REF!,0)))</f>
        <v>#REF!</v>
      </c>
      <c r="I326" s="156" t="str">
        <f>IF(C326="-","",IF(ISERROR(INDEX('Inventaire M-1'!$A$2:$AZ$9320,MATCH(B326,'Inventaire M-1'!$A:$A,0)-1,MATCH("quantite",'Inventaire M-1'!#REF!,0))),"Buy",INDEX('Inventaire M-1'!$A$2:$AZ$9320,MATCH(B326,'Inventaire M-1'!$A:$A,0)-1,MATCH("quantite",'Inventaire M-1'!#REF!,0))))</f>
        <v>Buy</v>
      </c>
      <c r="J326" s="175"/>
      <c r="K326" s="155" t="e">
        <f>IF(B326="-","",INDEX('Inventaire M'!$A$2:$AW$9305,MATCH(B326,'Inventaire M'!$A:$A,0)-1,MATCH("poids",'Inventaire M'!#REF!,0)))</f>
        <v>#REF!</v>
      </c>
      <c r="L326" s="155" t="str">
        <f>IF(B326="-","",IF(ISERROR(INDEX('Inventaire M-1'!$A$2:$AZ$9320,MATCH(B326,'Inventaire M-1'!$A:$A,0)-1,MATCH("poids",'Inventaire M-1'!#REF!,0))),"Buy",INDEX('Inventaire M-1'!$A$2:$AZ$9320,MATCH(B326,'Inventaire M-1'!$A:$A,0)-1,MATCH("poids",'Inventaire M-1'!#REF!,0))))</f>
        <v>Buy</v>
      </c>
      <c r="M326" s="175"/>
      <c r="N326" s="157" t="str">
        <f t="shared" si="30"/>
        <v>0</v>
      </c>
      <c r="O326" s="98" t="str">
        <f t="shared" si="31"/>
        <v/>
      </c>
      <c r="P326" s="80" t="str">
        <f t="shared" si="32"/>
        <v>NEOPHARMED GENTILI SPA 7.125 08/04/2030</v>
      </c>
      <c r="Q326" s="75">
        <v>3.0199999999999999E-8</v>
      </c>
      <c r="R326" s="175" t="str">
        <f>IF(OR('Inventaire M-1'!D79="Dispo/Liquidité Investie",'Inventaire M-1'!D79="Option/Future",'Inventaire M-1'!D79="TCN",'Inventaire M-1'!D79=""),"-",'Inventaire M-1'!A79)</f>
        <v>XS2581647091</v>
      </c>
      <c r="S326" s="175" t="str">
        <f>IF(OR('Inventaire M-1'!D79="Dispo/Liquidité Investie",'Inventaire M-1'!D79="Option/Future",'Inventaire M-1'!D79="TCN",'Inventaire M-1'!D79=""),"-",'Inventaire M-1'!B79)</f>
        <v>VERISURE HOLDING AB 7.125 01/02/2028</v>
      </c>
      <c r="T326" s="175"/>
      <c r="U326" s="175" t="e">
        <f>IF(R326="-","",INDEX('Inventaire M-1'!$A$2:$AG$9334,MATCH(R326,'Inventaire M-1'!$A:$A,0)-1,MATCH("Cours EUR",'Inventaire M-1'!#REF!,0)))</f>
        <v>#REF!</v>
      </c>
      <c r="V326" s="175" t="str">
        <f>IF(R326="-","",IF(ISERROR(INDEX('Inventaire M'!$A$2:$AD$9319,MATCH(R326,'Inventaire M'!$A:$A,0)-1,MATCH("Cours EUR",'Inventaire M'!#REF!,0))),"Sell",INDEX('Inventaire M'!$A$2:$AD$9319,MATCH(R326,'Inventaire M'!$A:$A,0)-1,MATCH("Cours EUR",'Inventaire M'!#REF!,0))))</f>
        <v>Sell</v>
      </c>
      <c r="W326" s="175"/>
      <c r="X326" s="156" t="e">
        <f>IF(R326="-","",INDEX('Inventaire M-1'!$A$2:$AG$9334,MATCH(R326,'Inventaire M-1'!$A:$A,0)-1,MATCH("quantite",'Inventaire M-1'!#REF!,0)))</f>
        <v>#REF!</v>
      </c>
      <c r="Y326" s="156" t="str">
        <f>IF(S326="-","",IF(ISERROR(INDEX('Inventaire M'!$A$2:$AD$9319,MATCH(R326,'Inventaire M'!$A:$A,0)-1,MATCH("quantite",'Inventaire M'!#REF!,0))),"Sell",INDEX('Inventaire M'!$A$2:$AD$9319,MATCH(R326,'Inventaire M'!$A:$A,0)-1,MATCH("quantite",'Inventaire M'!#REF!,0))))</f>
        <v>Sell</v>
      </c>
      <c r="Z326" s="175"/>
      <c r="AA326" s="155" t="e">
        <f>IF(R326="-","",INDEX('Inventaire M-1'!$A$2:$AG$9334,MATCH(R326,'Inventaire M-1'!$A:$A,0)-1,MATCH("poids",'Inventaire M-1'!#REF!,0)))</f>
        <v>#REF!</v>
      </c>
      <c r="AB326" s="155" t="str">
        <f>IF(R326="-","",IF(ISERROR(INDEX('Inventaire M'!$A$2:$AD$9319,MATCH(R326,'Inventaire M'!$A:$A,0)-1,MATCH("poids",'Inventaire M'!#REF!,0))),"Sell",INDEX('Inventaire M'!$A$2:$AD$9319,MATCH(R326,'Inventaire M'!$A:$A,0)-1,MATCH("poids",'Inventaire M'!#REF!,0))))</f>
        <v>Sell</v>
      </c>
      <c r="AC326" s="175"/>
      <c r="AD326" s="157" t="str">
        <f t="shared" si="33"/>
        <v>0</v>
      </c>
      <c r="AE326" s="98" t="str">
        <f t="shared" si="34"/>
        <v/>
      </c>
      <c r="AF326" s="80" t="str">
        <f t="shared" si="35"/>
        <v>VERISURE HOLDING AB 7.125 01/02/2028</v>
      </c>
    </row>
    <row r="327" spans="2:32" outlineLevel="1">
      <c r="B327" s="175" t="str">
        <f>IF(OR('Inventaire M'!D105="Dispo/Liquidité Investie",'Inventaire M'!D105="Option/Future",'Inventaire M'!D105="TCN",'Inventaire M'!D105=""),"-",'Inventaire M'!A105)</f>
        <v>XS2799493825</v>
      </c>
      <c r="C327" s="175" t="str">
        <f>IF(OR('Inventaire M'!D105="Dispo/Liquidité Investie",'Inventaire M'!D105="Option/Future",'Inventaire M'!D105="TCN",'Inventaire M'!D105=""),"-",'Inventaire M'!B105)</f>
        <v>AROUNDTOWN FINANCE SARL PERP</v>
      </c>
      <c r="D327" s="175"/>
      <c r="E327" s="175" t="e">
        <f>IF(B327="-","",INDEX('Inventaire M'!$A$2:$AW$9305,MATCH(B327,'Inventaire M'!$A:$A,0)-1,MATCH("Cours EUR",'Inventaire M'!#REF!,0)))</f>
        <v>#REF!</v>
      </c>
      <c r="F327" s="175" t="str">
        <f>IF(B327="-","",IF(ISERROR(INDEX('Inventaire M-1'!$A$2:$AZ$9320,MATCH(B327,'Inventaire M-1'!$A:$A,0)-1,MATCH("Cours EUR",'Inventaire M-1'!#REF!,0))),"Buy",INDEX('Inventaire M-1'!$A$2:$AZ$9320,MATCH(B327,'Inventaire M-1'!$A:$A,0)-1,MATCH("Cours EUR",'Inventaire M-1'!#REF!,0))))</f>
        <v>Buy</v>
      </c>
      <c r="G327" s="175"/>
      <c r="H327" s="156" t="e">
        <f>IF(B327="-","",INDEX('Inventaire M'!$A$2:$AW$9305,MATCH(B327,'Inventaire M'!$A:$A,0)-1,MATCH("quantite",'Inventaire M'!#REF!,0)))</f>
        <v>#REF!</v>
      </c>
      <c r="I327" s="156" t="str">
        <f>IF(C327="-","",IF(ISERROR(INDEX('Inventaire M-1'!$A$2:$AZ$9320,MATCH(B327,'Inventaire M-1'!$A:$A,0)-1,MATCH("quantite",'Inventaire M-1'!#REF!,0))),"Buy",INDEX('Inventaire M-1'!$A$2:$AZ$9320,MATCH(B327,'Inventaire M-1'!$A:$A,0)-1,MATCH("quantite",'Inventaire M-1'!#REF!,0))))</f>
        <v>Buy</v>
      </c>
      <c r="J327" s="175"/>
      <c r="K327" s="155" t="e">
        <f>IF(B327="-","",INDEX('Inventaire M'!$A$2:$AW$9305,MATCH(B327,'Inventaire M'!$A:$A,0)-1,MATCH("poids",'Inventaire M'!#REF!,0)))</f>
        <v>#REF!</v>
      </c>
      <c r="L327" s="155" t="str">
        <f>IF(B327="-","",IF(ISERROR(INDEX('Inventaire M-1'!$A$2:$AZ$9320,MATCH(B327,'Inventaire M-1'!$A:$A,0)-1,MATCH("poids",'Inventaire M-1'!#REF!,0))),"Buy",INDEX('Inventaire M-1'!$A$2:$AZ$9320,MATCH(B327,'Inventaire M-1'!$A:$A,0)-1,MATCH("poids",'Inventaire M-1'!#REF!,0))))</f>
        <v>Buy</v>
      </c>
      <c r="M327" s="175"/>
      <c r="N327" s="157" t="str">
        <f t="shared" si="30"/>
        <v>0</v>
      </c>
      <c r="O327" s="98" t="str">
        <f t="shared" si="31"/>
        <v/>
      </c>
      <c r="P327" s="80" t="str">
        <f t="shared" si="32"/>
        <v>AROUNDTOWN FINANCE SARL PERP</v>
      </c>
      <c r="Q327" s="75">
        <v>3.03E-8</v>
      </c>
      <c r="R327" s="175" t="str">
        <f>IF(OR('Inventaire M-1'!D80="Dispo/Liquidité Investie",'Inventaire M-1'!D80="Option/Future",'Inventaire M-1'!D80="TCN",'Inventaire M-1'!D80=""),"-",'Inventaire M-1'!A80)</f>
        <v>XS2582788100</v>
      </c>
      <c r="S327" s="175" t="str">
        <f>IF(OR('Inventaire M-1'!D80="Dispo/Liquidité Investie",'Inventaire M-1'!D80="Option/Future",'Inventaire M-1'!D80="TCN",'Inventaire M-1'!D80=""),"-",'Inventaire M-1'!B80)</f>
        <v>ITALMATCH CHEMICALS SPA 10 06/02/2028</v>
      </c>
      <c r="T327" s="175"/>
      <c r="U327" s="175" t="e">
        <f>IF(R327="-","",INDEX('Inventaire M-1'!$A$2:$AG$9334,MATCH(R327,'Inventaire M-1'!$A:$A,0)-1,MATCH("Cours EUR",'Inventaire M-1'!#REF!,0)))</f>
        <v>#REF!</v>
      </c>
      <c r="V327" s="175" t="str">
        <f>IF(R327="-","",IF(ISERROR(INDEX('Inventaire M'!$A$2:$AD$9319,MATCH(R327,'Inventaire M'!$A:$A,0)-1,MATCH("Cours EUR",'Inventaire M'!#REF!,0))),"Sell",INDEX('Inventaire M'!$A$2:$AD$9319,MATCH(R327,'Inventaire M'!$A:$A,0)-1,MATCH("Cours EUR",'Inventaire M'!#REF!,0))))</f>
        <v>Sell</v>
      </c>
      <c r="W327" s="175"/>
      <c r="X327" s="156" t="e">
        <f>IF(R327="-","",INDEX('Inventaire M-1'!$A$2:$AG$9334,MATCH(R327,'Inventaire M-1'!$A:$A,0)-1,MATCH("quantite",'Inventaire M-1'!#REF!,0)))</f>
        <v>#REF!</v>
      </c>
      <c r="Y327" s="156" t="str">
        <f>IF(S327="-","",IF(ISERROR(INDEX('Inventaire M'!$A$2:$AD$9319,MATCH(R327,'Inventaire M'!$A:$A,0)-1,MATCH("quantite",'Inventaire M'!#REF!,0))),"Sell",INDEX('Inventaire M'!$A$2:$AD$9319,MATCH(R327,'Inventaire M'!$A:$A,0)-1,MATCH("quantite",'Inventaire M'!#REF!,0))))</f>
        <v>Sell</v>
      </c>
      <c r="Z327" s="175"/>
      <c r="AA327" s="155" t="e">
        <f>IF(R327="-","",INDEX('Inventaire M-1'!$A$2:$AG$9334,MATCH(R327,'Inventaire M-1'!$A:$A,0)-1,MATCH("poids",'Inventaire M-1'!#REF!,0)))</f>
        <v>#REF!</v>
      </c>
      <c r="AB327" s="155" t="str">
        <f>IF(R327="-","",IF(ISERROR(INDEX('Inventaire M'!$A$2:$AD$9319,MATCH(R327,'Inventaire M'!$A:$A,0)-1,MATCH("poids",'Inventaire M'!#REF!,0))),"Sell",INDEX('Inventaire M'!$A$2:$AD$9319,MATCH(R327,'Inventaire M'!$A:$A,0)-1,MATCH("poids",'Inventaire M'!#REF!,0))))</f>
        <v>Sell</v>
      </c>
      <c r="AC327" s="175"/>
      <c r="AD327" s="157" t="str">
        <f t="shared" si="33"/>
        <v>0</v>
      </c>
      <c r="AE327" s="98" t="str">
        <f t="shared" si="34"/>
        <v/>
      </c>
      <c r="AF327" s="80" t="str">
        <f t="shared" si="35"/>
        <v>ITALMATCH CHEMICALS SPA 10 06/02/2028</v>
      </c>
    </row>
    <row r="328" spans="2:32" outlineLevel="1">
      <c r="B328" s="175" t="str">
        <f>IF(OR('Inventaire M'!D106="Dispo/Liquidité Investie",'Inventaire M'!D106="Option/Future",'Inventaire M'!D106="TCN",'Inventaire M'!D106=""),"-",'Inventaire M'!A106)</f>
        <v>XS2800001914</v>
      </c>
      <c r="C328" s="175" t="str">
        <f>IF(OR('Inventaire M'!D106="Dispo/Liquidité Investie",'Inventaire M'!D106="Option/Future",'Inventaire M'!D106="TCN",'Inventaire M'!D106=""),"-",'Inventaire M'!B106)</f>
        <v>ALEXANDRITE MONNET UK HOLDCO PLC 10.5 15/05/2029</v>
      </c>
      <c r="D328" s="175"/>
      <c r="E328" s="175" t="e">
        <f>IF(B328="-","",INDEX('Inventaire M'!$A$2:$AW$9305,MATCH(B328,'Inventaire M'!$A:$A,0)-1,MATCH("Cours EUR",'Inventaire M'!#REF!,0)))</f>
        <v>#REF!</v>
      </c>
      <c r="F328" s="175" t="str">
        <f>IF(B328="-","",IF(ISERROR(INDEX('Inventaire M-1'!$A$2:$AZ$9320,MATCH(B328,'Inventaire M-1'!$A:$A,0)-1,MATCH("Cours EUR",'Inventaire M-1'!#REF!,0))),"Buy",INDEX('Inventaire M-1'!$A$2:$AZ$9320,MATCH(B328,'Inventaire M-1'!$A:$A,0)-1,MATCH("Cours EUR",'Inventaire M-1'!#REF!,0))))</f>
        <v>Buy</v>
      </c>
      <c r="G328" s="175"/>
      <c r="H328" s="156" t="e">
        <f>IF(B328="-","",INDEX('Inventaire M'!$A$2:$AW$9305,MATCH(B328,'Inventaire M'!$A:$A,0)-1,MATCH("quantite",'Inventaire M'!#REF!,0)))</f>
        <v>#REF!</v>
      </c>
      <c r="I328" s="156" t="str">
        <f>IF(C328="-","",IF(ISERROR(INDEX('Inventaire M-1'!$A$2:$AZ$9320,MATCH(B328,'Inventaire M-1'!$A:$A,0)-1,MATCH("quantite",'Inventaire M-1'!#REF!,0))),"Buy",INDEX('Inventaire M-1'!$A$2:$AZ$9320,MATCH(B328,'Inventaire M-1'!$A:$A,0)-1,MATCH("quantite",'Inventaire M-1'!#REF!,0))))</f>
        <v>Buy</v>
      </c>
      <c r="J328" s="175"/>
      <c r="K328" s="155" t="e">
        <f>IF(B328="-","",INDEX('Inventaire M'!$A$2:$AW$9305,MATCH(B328,'Inventaire M'!$A:$A,0)-1,MATCH("poids",'Inventaire M'!#REF!,0)))</f>
        <v>#REF!</v>
      </c>
      <c r="L328" s="155" t="str">
        <f>IF(B328="-","",IF(ISERROR(INDEX('Inventaire M-1'!$A$2:$AZ$9320,MATCH(B328,'Inventaire M-1'!$A:$A,0)-1,MATCH("poids",'Inventaire M-1'!#REF!,0))),"Buy",INDEX('Inventaire M-1'!$A$2:$AZ$9320,MATCH(B328,'Inventaire M-1'!$A:$A,0)-1,MATCH("poids",'Inventaire M-1'!#REF!,0))))</f>
        <v>Buy</v>
      </c>
      <c r="M328" s="175"/>
      <c r="N328" s="157" t="str">
        <f t="shared" si="30"/>
        <v>0</v>
      </c>
      <c r="O328" s="98" t="str">
        <f t="shared" si="31"/>
        <v/>
      </c>
      <c r="P328" s="80" t="str">
        <f t="shared" si="32"/>
        <v>ALEXANDRITE MONNET UK HOLDCO PLC 10.5 15/05/2029</v>
      </c>
      <c r="Q328" s="75">
        <v>3.0400000000000001E-8</v>
      </c>
      <c r="R328" s="175" t="str">
        <f>IF(OR('Inventaire M-1'!D81="Dispo/Liquidité Investie",'Inventaire M-1'!D81="Option/Future",'Inventaire M-1'!D81="TCN",'Inventaire M-1'!D81=""),"-",'Inventaire M-1'!A81)</f>
        <v>XS2592804434</v>
      </c>
      <c r="S328" s="175" t="str">
        <f>IF(OR('Inventaire M-1'!D81="Dispo/Liquidité Investie",'Inventaire M-1'!D81="Option/Future",'Inventaire M-1'!D81="TCN",'Inventaire M-1'!D81=""),"-",'Inventaire M-1'!B81)</f>
        <v>TEVA PHARMACEUTICAL FINANCE NETHER 7.375 15/09/2029</v>
      </c>
      <c r="T328" s="175"/>
      <c r="U328" s="175" t="e">
        <f>IF(R328="-","",INDEX('Inventaire M-1'!$A$2:$AG$9334,MATCH(R328,'Inventaire M-1'!$A:$A,0)-1,MATCH("Cours EUR",'Inventaire M-1'!#REF!,0)))</f>
        <v>#REF!</v>
      </c>
      <c r="V328" s="175" t="str">
        <f>IF(R328="-","",IF(ISERROR(INDEX('Inventaire M'!$A$2:$AD$9319,MATCH(R328,'Inventaire M'!$A:$A,0)-1,MATCH("Cours EUR",'Inventaire M'!#REF!,0))),"Sell",INDEX('Inventaire M'!$A$2:$AD$9319,MATCH(R328,'Inventaire M'!$A:$A,0)-1,MATCH("Cours EUR",'Inventaire M'!#REF!,0))))</f>
        <v>Sell</v>
      </c>
      <c r="W328" s="175"/>
      <c r="X328" s="156" t="e">
        <f>IF(R328="-","",INDEX('Inventaire M-1'!$A$2:$AG$9334,MATCH(R328,'Inventaire M-1'!$A:$A,0)-1,MATCH("quantite",'Inventaire M-1'!#REF!,0)))</f>
        <v>#REF!</v>
      </c>
      <c r="Y328" s="156" t="str">
        <f>IF(S328="-","",IF(ISERROR(INDEX('Inventaire M'!$A$2:$AD$9319,MATCH(R328,'Inventaire M'!$A:$A,0)-1,MATCH("quantite",'Inventaire M'!#REF!,0))),"Sell",INDEX('Inventaire M'!$A$2:$AD$9319,MATCH(R328,'Inventaire M'!$A:$A,0)-1,MATCH("quantite",'Inventaire M'!#REF!,0))))</f>
        <v>Sell</v>
      </c>
      <c r="Z328" s="175"/>
      <c r="AA328" s="155" t="e">
        <f>IF(R328="-","",INDEX('Inventaire M-1'!$A$2:$AG$9334,MATCH(R328,'Inventaire M-1'!$A:$A,0)-1,MATCH("poids",'Inventaire M-1'!#REF!,0)))</f>
        <v>#REF!</v>
      </c>
      <c r="AB328" s="155" t="str">
        <f>IF(R328="-","",IF(ISERROR(INDEX('Inventaire M'!$A$2:$AD$9319,MATCH(R328,'Inventaire M'!$A:$A,0)-1,MATCH("poids",'Inventaire M'!#REF!,0))),"Sell",INDEX('Inventaire M'!$A$2:$AD$9319,MATCH(R328,'Inventaire M'!$A:$A,0)-1,MATCH("poids",'Inventaire M'!#REF!,0))))</f>
        <v>Sell</v>
      </c>
      <c r="AC328" s="175"/>
      <c r="AD328" s="157" t="str">
        <f t="shared" si="33"/>
        <v>0</v>
      </c>
      <c r="AE328" s="98" t="str">
        <f t="shared" si="34"/>
        <v/>
      </c>
      <c r="AF328" s="80" t="str">
        <f t="shared" si="35"/>
        <v>TEVA PHARMACEUTICAL FINANCE NETHER 7.375 15/09/2029</v>
      </c>
    </row>
    <row r="329" spans="2:32" outlineLevel="1">
      <c r="B329" s="175" t="str">
        <f>IF(OR('Inventaire M'!D107="Dispo/Liquidité Investie",'Inventaire M'!D107="Option/Future",'Inventaire M'!D107="TCN",'Inventaire M'!D107=""),"-",'Inventaire M'!A107)</f>
        <v>XS2804497506</v>
      </c>
      <c r="C329" s="175" t="str">
        <f>IF(OR('Inventaire M'!D107="Dispo/Liquidité Investie",'Inventaire M'!D107="Option/Future",'Inventaire M'!D107="TCN",'Inventaire M'!D107=""),"-",'Inventaire M'!B107)</f>
        <v>OPTICS BIDCO SPA 7.75 24/01/2033</v>
      </c>
      <c r="D329" s="175"/>
      <c r="E329" s="175" t="e">
        <f>IF(B329="-","",INDEX('Inventaire M'!$A$2:$AW$9305,MATCH(B329,'Inventaire M'!$A:$A,0)-1,MATCH("Cours EUR",'Inventaire M'!#REF!,0)))</f>
        <v>#REF!</v>
      </c>
      <c r="F329" s="175" t="str">
        <f>IF(B329="-","",IF(ISERROR(INDEX('Inventaire M-1'!$A$2:$AZ$9320,MATCH(B329,'Inventaire M-1'!$A:$A,0)-1,MATCH("Cours EUR",'Inventaire M-1'!#REF!,0))),"Buy",INDEX('Inventaire M-1'!$A$2:$AZ$9320,MATCH(B329,'Inventaire M-1'!$A:$A,0)-1,MATCH("Cours EUR",'Inventaire M-1'!#REF!,0))))</f>
        <v>Buy</v>
      </c>
      <c r="G329" s="175"/>
      <c r="H329" s="156" t="e">
        <f>IF(B329="-","",INDEX('Inventaire M'!$A$2:$AW$9305,MATCH(B329,'Inventaire M'!$A:$A,0)-1,MATCH("quantite",'Inventaire M'!#REF!,0)))</f>
        <v>#REF!</v>
      </c>
      <c r="I329" s="156" t="str">
        <f>IF(C329="-","",IF(ISERROR(INDEX('Inventaire M-1'!$A$2:$AZ$9320,MATCH(B329,'Inventaire M-1'!$A:$A,0)-1,MATCH("quantite",'Inventaire M-1'!#REF!,0))),"Buy",INDEX('Inventaire M-1'!$A$2:$AZ$9320,MATCH(B329,'Inventaire M-1'!$A:$A,0)-1,MATCH("quantite",'Inventaire M-1'!#REF!,0))))</f>
        <v>Buy</v>
      </c>
      <c r="J329" s="175"/>
      <c r="K329" s="155" t="e">
        <f>IF(B329="-","",INDEX('Inventaire M'!$A$2:$AW$9305,MATCH(B329,'Inventaire M'!$A:$A,0)-1,MATCH("poids",'Inventaire M'!#REF!,0)))</f>
        <v>#REF!</v>
      </c>
      <c r="L329" s="155" t="str">
        <f>IF(B329="-","",IF(ISERROR(INDEX('Inventaire M-1'!$A$2:$AZ$9320,MATCH(B329,'Inventaire M-1'!$A:$A,0)-1,MATCH("poids",'Inventaire M-1'!#REF!,0))),"Buy",INDEX('Inventaire M-1'!$A$2:$AZ$9320,MATCH(B329,'Inventaire M-1'!$A:$A,0)-1,MATCH("poids",'Inventaire M-1'!#REF!,0))))</f>
        <v>Buy</v>
      </c>
      <c r="M329" s="175"/>
      <c r="N329" s="157" t="str">
        <f t="shared" si="30"/>
        <v>0</v>
      </c>
      <c r="O329" s="98" t="str">
        <f t="shared" si="31"/>
        <v/>
      </c>
      <c r="P329" s="80" t="str">
        <f t="shared" si="32"/>
        <v>OPTICS BIDCO SPA 7.75 24/01/2033</v>
      </c>
      <c r="Q329" s="75">
        <v>3.0500000000000002E-8</v>
      </c>
      <c r="R329" s="175" t="str">
        <f>IF(OR('Inventaire M-1'!D82="Dispo/Liquidité Investie",'Inventaire M-1'!D82="Option/Future",'Inventaire M-1'!D82="TCN",'Inventaire M-1'!D82=""),"-",'Inventaire M-1'!A82)</f>
        <v>XS2615562274</v>
      </c>
      <c r="S329" s="175" t="str">
        <f>IF(OR('Inventaire M-1'!D82="Dispo/Liquidité Investie",'Inventaire M-1'!D82="Option/Future",'Inventaire M-1'!D82="TCN",'Inventaire M-1'!D82=""),"-",'Inventaire M-1'!B82)</f>
        <v>GRUENENTHAL GMBH 6.75 15/05/2030</v>
      </c>
      <c r="T329" s="175"/>
      <c r="U329" s="175" t="e">
        <f>IF(R329="-","",INDEX('Inventaire M-1'!$A$2:$AG$9334,MATCH(R329,'Inventaire M-1'!$A:$A,0)-1,MATCH("Cours EUR",'Inventaire M-1'!#REF!,0)))</f>
        <v>#REF!</v>
      </c>
      <c r="V329" s="175" t="str">
        <f>IF(R329="-","",IF(ISERROR(INDEX('Inventaire M'!$A$2:$AD$9319,MATCH(R329,'Inventaire M'!$A:$A,0)-1,MATCH("Cours EUR",'Inventaire M'!#REF!,0))),"Sell",INDEX('Inventaire M'!$A$2:$AD$9319,MATCH(R329,'Inventaire M'!$A:$A,0)-1,MATCH("Cours EUR",'Inventaire M'!#REF!,0))))</f>
        <v>Sell</v>
      </c>
      <c r="W329" s="175"/>
      <c r="X329" s="156" t="e">
        <f>IF(R329="-","",INDEX('Inventaire M-1'!$A$2:$AG$9334,MATCH(R329,'Inventaire M-1'!$A:$A,0)-1,MATCH("quantite",'Inventaire M-1'!#REF!,0)))</f>
        <v>#REF!</v>
      </c>
      <c r="Y329" s="156" t="str">
        <f>IF(S329="-","",IF(ISERROR(INDEX('Inventaire M'!$A$2:$AD$9319,MATCH(R329,'Inventaire M'!$A:$A,0)-1,MATCH("quantite",'Inventaire M'!#REF!,0))),"Sell",INDEX('Inventaire M'!$A$2:$AD$9319,MATCH(R329,'Inventaire M'!$A:$A,0)-1,MATCH("quantite",'Inventaire M'!#REF!,0))))</f>
        <v>Sell</v>
      </c>
      <c r="Z329" s="175"/>
      <c r="AA329" s="155" t="e">
        <f>IF(R329="-","",INDEX('Inventaire M-1'!$A$2:$AG$9334,MATCH(R329,'Inventaire M-1'!$A:$A,0)-1,MATCH("poids",'Inventaire M-1'!#REF!,0)))</f>
        <v>#REF!</v>
      </c>
      <c r="AB329" s="155" t="str">
        <f>IF(R329="-","",IF(ISERROR(INDEX('Inventaire M'!$A$2:$AD$9319,MATCH(R329,'Inventaire M'!$A:$A,0)-1,MATCH("poids",'Inventaire M'!#REF!,0))),"Sell",INDEX('Inventaire M'!$A$2:$AD$9319,MATCH(R329,'Inventaire M'!$A:$A,0)-1,MATCH("poids",'Inventaire M'!#REF!,0))))</f>
        <v>Sell</v>
      </c>
      <c r="AC329" s="175"/>
      <c r="AD329" s="157" t="str">
        <f t="shared" si="33"/>
        <v>0</v>
      </c>
      <c r="AE329" s="98" t="str">
        <f t="shared" si="34"/>
        <v/>
      </c>
      <c r="AF329" s="80" t="str">
        <f t="shared" si="35"/>
        <v>GRUENENTHAL GMBH 6.75 15/05/2030</v>
      </c>
    </row>
    <row r="330" spans="2:32" outlineLevel="1">
      <c r="B330" s="175" t="str">
        <f>IF(OR('Inventaire M'!D108="Dispo/Liquidité Investie",'Inventaire M'!D108="Option/Future",'Inventaire M'!D108="TCN",'Inventaire M'!D108=""),"-",'Inventaire M'!A108)</f>
        <v>XS2804500572</v>
      </c>
      <c r="C330" s="175" t="str">
        <f>IF(OR('Inventaire M'!D108="Dispo/Liquidité Investie",'Inventaire M'!D108="Option/Future",'Inventaire M'!D108="TCN",'Inventaire M'!D108=""),"-",'Inventaire M'!B108)</f>
        <v>OPTICS BIDCO SPA 6.875 15/02/2028</v>
      </c>
      <c r="D330" s="175"/>
      <c r="E330" s="175" t="e">
        <f>IF(B330="-","",INDEX('Inventaire M'!$A$2:$AW$9305,MATCH(B330,'Inventaire M'!$A:$A,0)-1,MATCH("Cours EUR",'Inventaire M'!#REF!,0)))</f>
        <v>#REF!</v>
      </c>
      <c r="F330" s="175" t="str">
        <f>IF(B330="-","",IF(ISERROR(INDEX('Inventaire M-1'!$A$2:$AZ$9320,MATCH(B330,'Inventaire M-1'!$A:$A,0)-1,MATCH("Cours EUR",'Inventaire M-1'!#REF!,0))),"Buy",INDEX('Inventaire M-1'!$A$2:$AZ$9320,MATCH(B330,'Inventaire M-1'!$A:$A,0)-1,MATCH("Cours EUR",'Inventaire M-1'!#REF!,0))))</f>
        <v>Buy</v>
      </c>
      <c r="G330" s="175"/>
      <c r="H330" s="156" t="e">
        <f>IF(B330="-","",INDEX('Inventaire M'!$A$2:$AW$9305,MATCH(B330,'Inventaire M'!$A:$A,0)-1,MATCH("quantite",'Inventaire M'!#REF!,0)))</f>
        <v>#REF!</v>
      </c>
      <c r="I330" s="156" t="str">
        <f>IF(C330="-","",IF(ISERROR(INDEX('Inventaire M-1'!$A$2:$AZ$9320,MATCH(B330,'Inventaire M-1'!$A:$A,0)-1,MATCH("quantite",'Inventaire M-1'!#REF!,0))),"Buy",INDEX('Inventaire M-1'!$A$2:$AZ$9320,MATCH(B330,'Inventaire M-1'!$A:$A,0)-1,MATCH("quantite",'Inventaire M-1'!#REF!,0))))</f>
        <v>Buy</v>
      </c>
      <c r="J330" s="175"/>
      <c r="K330" s="155" t="e">
        <f>IF(B330="-","",INDEX('Inventaire M'!$A$2:$AW$9305,MATCH(B330,'Inventaire M'!$A:$A,0)-1,MATCH("poids",'Inventaire M'!#REF!,0)))</f>
        <v>#REF!</v>
      </c>
      <c r="L330" s="155" t="str">
        <f>IF(B330="-","",IF(ISERROR(INDEX('Inventaire M-1'!$A$2:$AZ$9320,MATCH(B330,'Inventaire M-1'!$A:$A,0)-1,MATCH("poids",'Inventaire M-1'!#REF!,0))),"Buy",INDEX('Inventaire M-1'!$A$2:$AZ$9320,MATCH(B330,'Inventaire M-1'!$A:$A,0)-1,MATCH("poids",'Inventaire M-1'!#REF!,0))))</f>
        <v>Buy</v>
      </c>
      <c r="M330" s="175"/>
      <c r="N330" s="157" t="str">
        <f t="shared" si="30"/>
        <v>0</v>
      </c>
      <c r="O330" s="98" t="str">
        <f t="shared" si="31"/>
        <v/>
      </c>
      <c r="P330" s="80" t="str">
        <f t="shared" si="32"/>
        <v>OPTICS BIDCO SPA 6.875 15/02/2028</v>
      </c>
      <c r="Q330" s="75">
        <v>3.0600000000000003E-8</v>
      </c>
      <c r="R330" s="175" t="str">
        <f>IF(OR('Inventaire M-1'!D83="Dispo/Liquidité Investie",'Inventaire M-1'!D83="Option/Future",'Inventaire M-1'!D83="TCN",'Inventaire M-1'!D83=""),"-",'Inventaire M-1'!A83)</f>
        <v>XS2615937187</v>
      </c>
      <c r="S330" s="175" t="str">
        <f>IF(OR('Inventaire M-1'!D83="Dispo/Liquidité Investie",'Inventaire M-1'!D83="Option/Future",'Inventaire M-1'!D83="TCN",'Inventaire M-1'!D83=""),"-",'Inventaire M-1'!B83)</f>
        <v>ALLWYN ENTERTAINMENT FINANCING (UK 7.25 30/04/2030</v>
      </c>
      <c r="T330" s="175"/>
      <c r="U330" s="175" t="e">
        <f>IF(R330="-","",INDEX('Inventaire M-1'!$A$2:$AG$9334,MATCH(R330,'Inventaire M-1'!$A:$A,0)-1,MATCH("Cours EUR",'Inventaire M-1'!#REF!,0)))</f>
        <v>#REF!</v>
      </c>
      <c r="V330" s="175" t="str">
        <f>IF(R330="-","",IF(ISERROR(INDEX('Inventaire M'!$A$2:$AD$9319,MATCH(R330,'Inventaire M'!$A:$A,0)-1,MATCH("Cours EUR",'Inventaire M'!#REF!,0))),"Sell",INDEX('Inventaire M'!$A$2:$AD$9319,MATCH(R330,'Inventaire M'!$A:$A,0)-1,MATCH("Cours EUR",'Inventaire M'!#REF!,0))))</f>
        <v>Sell</v>
      </c>
      <c r="W330" s="175"/>
      <c r="X330" s="156" t="e">
        <f>IF(R330="-","",INDEX('Inventaire M-1'!$A$2:$AG$9334,MATCH(R330,'Inventaire M-1'!$A:$A,0)-1,MATCH("quantite",'Inventaire M-1'!#REF!,0)))</f>
        <v>#REF!</v>
      </c>
      <c r="Y330" s="156" t="str">
        <f>IF(S330="-","",IF(ISERROR(INDEX('Inventaire M'!$A$2:$AD$9319,MATCH(R330,'Inventaire M'!$A:$A,0)-1,MATCH("quantite",'Inventaire M'!#REF!,0))),"Sell",INDEX('Inventaire M'!$A$2:$AD$9319,MATCH(R330,'Inventaire M'!$A:$A,0)-1,MATCH("quantite",'Inventaire M'!#REF!,0))))</f>
        <v>Sell</v>
      </c>
      <c r="Z330" s="175"/>
      <c r="AA330" s="155" t="e">
        <f>IF(R330="-","",INDEX('Inventaire M-1'!$A$2:$AG$9334,MATCH(R330,'Inventaire M-1'!$A:$A,0)-1,MATCH("poids",'Inventaire M-1'!#REF!,0)))</f>
        <v>#REF!</v>
      </c>
      <c r="AB330" s="155" t="str">
        <f>IF(R330="-","",IF(ISERROR(INDEX('Inventaire M'!$A$2:$AD$9319,MATCH(R330,'Inventaire M'!$A:$A,0)-1,MATCH("poids",'Inventaire M'!#REF!,0))),"Sell",INDEX('Inventaire M'!$A$2:$AD$9319,MATCH(R330,'Inventaire M'!$A:$A,0)-1,MATCH("poids",'Inventaire M'!#REF!,0))))</f>
        <v>Sell</v>
      </c>
      <c r="AC330" s="175"/>
      <c r="AD330" s="157" t="str">
        <f t="shared" si="33"/>
        <v>0</v>
      </c>
      <c r="AE330" s="98" t="str">
        <f t="shared" si="34"/>
        <v/>
      </c>
      <c r="AF330" s="80" t="str">
        <f t="shared" si="35"/>
        <v>ALLWYN ENTERTAINMENT FINANCING (UK 7.25 30/04/2030</v>
      </c>
    </row>
    <row r="331" spans="2:32" outlineLevel="1">
      <c r="B331" s="175" t="str">
        <f>IF(OR('Inventaire M'!D109="Dispo/Liquidité Investie",'Inventaire M'!D109="Option/Future",'Inventaire M'!D109="TCN",'Inventaire M'!D109=""),"-",'Inventaire M'!A109)</f>
        <v>XS2804500812</v>
      </c>
      <c r="C331" s="175" t="str">
        <f>IF(OR('Inventaire M'!D109="Dispo/Liquidité Investie",'Inventaire M'!D109="Option/Future",'Inventaire M'!D109="TCN",'Inventaire M'!D109=""),"-",'Inventaire M'!B109)</f>
        <v>OPTICS BIDCO SPA 7.875 31/07/2028</v>
      </c>
      <c r="D331" s="175"/>
      <c r="E331" s="175" t="e">
        <f>IF(B331="-","",INDEX('Inventaire M'!$A$2:$AW$9305,MATCH(B331,'Inventaire M'!$A:$A,0)-1,MATCH("Cours EUR",'Inventaire M'!#REF!,0)))</f>
        <v>#REF!</v>
      </c>
      <c r="F331" s="175" t="str">
        <f>IF(B331="-","",IF(ISERROR(INDEX('Inventaire M-1'!$A$2:$AZ$9320,MATCH(B331,'Inventaire M-1'!$A:$A,0)-1,MATCH("Cours EUR",'Inventaire M-1'!#REF!,0))),"Buy",INDEX('Inventaire M-1'!$A$2:$AZ$9320,MATCH(B331,'Inventaire M-1'!$A:$A,0)-1,MATCH("Cours EUR",'Inventaire M-1'!#REF!,0))))</f>
        <v>Buy</v>
      </c>
      <c r="G331" s="175"/>
      <c r="H331" s="156" t="e">
        <f>IF(B331="-","",INDEX('Inventaire M'!$A$2:$AW$9305,MATCH(B331,'Inventaire M'!$A:$A,0)-1,MATCH("quantite",'Inventaire M'!#REF!,0)))</f>
        <v>#REF!</v>
      </c>
      <c r="I331" s="156" t="str">
        <f>IF(C331="-","",IF(ISERROR(INDEX('Inventaire M-1'!$A$2:$AZ$9320,MATCH(B331,'Inventaire M-1'!$A:$A,0)-1,MATCH("quantite",'Inventaire M-1'!#REF!,0))),"Buy",INDEX('Inventaire M-1'!$A$2:$AZ$9320,MATCH(B331,'Inventaire M-1'!$A:$A,0)-1,MATCH("quantite",'Inventaire M-1'!#REF!,0))))</f>
        <v>Buy</v>
      </c>
      <c r="J331" s="175"/>
      <c r="K331" s="155" t="e">
        <f>IF(B331="-","",INDEX('Inventaire M'!$A$2:$AW$9305,MATCH(B331,'Inventaire M'!$A:$A,0)-1,MATCH("poids",'Inventaire M'!#REF!,0)))</f>
        <v>#REF!</v>
      </c>
      <c r="L331" s="155" t="str">
        <f>IF(B331="-","",IF(ISERROR(INDEX('Inventaire M-1'!$A$2:$AZ$9320,MATCH(B331,'Inventaire M-1'!$A:$A,0)-1,MATCH("poids",'Inventaire M-1'!#REF!,0))),"Buy",INDEX('Inventaire M-1'!$A$2:$AZ$9320,MATCH(B331,'Inventaire M-1'!$A:$A,0)-1,MATCH("poids",'Inventaire M-1'!#REF!,0))))</f>
        <v>Buy</v>
      </c>
      <c r="M331" s="175"/>
      <c r="N331" s="157" t="str">
        <f t="shared" si="30"/>
        <v>0</v>
      </c>
      <c r="O331" s="98" t="str">
        <f t="shared" si="31"/>
        <v/>
      </c>
      <c r="P331" s="80" t="str">
        <f t="shared" si="32"/>
        <v>OPTICS BIDCO SPA 7.875 31/07/2028</v>
      </c>
      <c r="Q331" s="75">
        <v>3.0699999999999997E-8</v>
      </c>
      <c r="R331" s="175" t="str">
        <f>IF(OR('Inventaire M-1'!D84="Dispo/Liquidité Investie",'Inventaire M-1'!D84="Option/Future",'Inventaire M-1'!D84="TCN",'Inventaire M-1'!D84=""),"-",'Inventaire M-1'!A84)</f>
        <v>XS2618867159</v>
      </c>
      <c r="S331" s="175" t="str">
        <f>IF(OR('Inventaire M-1'!D84="Dispo/Liquidité Investie",'Inventaire M-1'!D84="Option/Future",'Inventaire M-1'!D84="TCN",'Inventaire M-1'!D84=""),"-",'Inventaire M-1'!B84)</f>
        <v>CHEPLAPHARM ARZNEIMITTEL GMBH 7.5 15/05/2030</v>
      </c>
      <c r="T331" s="175"/>
      <c r="U331" s="175" t="e">
        <f>IF(R331="-","",INDEX('Inventaire M-1'!$A$2:$AG$9334,MATCH(R331,'Inventaire M-1'!$A:$A,0)-1,MATCH("Cours EUR",'Inventaire M-1'!#REF!,0)))</f>
        <v>#REF!</v>
      </c>
      <c r="V331" s="175" t="str">
        <f>IF(R331="-","",IF(ISERROR(INDEX('Inventaire M'!$A$2:$AD$9319,MATCH(R331,'Inventaire M'!$A:$A,0)-1,MATCH("Cours EUR",'Inventaire M'!#REF!,0))),"Sell",INDEX('Inventaire M'!$A$2:$AD$9319,MATCH(R331,'Inventaire M'!$A:$A,0)-1,MATCH("Cours EUR",'Inventaire M'!#REF!,0))))</f>
        <v>Sell</v>
      </c>
      <c r="W331" s="175"/>
      <c r="X331" s="156" t="e">
        <f>IF(R331="-","",INDEX('Inventaire M-1'!$A$2:$AG$9334,MATCH(R331,'Inventaire M-1'!$A:$A,0)-1,MATCH("quantite",'Inventaire M-1'!#REF!,0)))</f>
        <v>#REF!</v>
      </c>
      <c r="Y331" s="156" t="str">
        <f>IF(S331="-","",IF(ISERROR(INDEX('Inventaire M'!$A$2:$AD$9319,MATCH(R331,'Inventaire M'!$A:$A,0)-1,MATCH("quantite",'Inventaire M'!#REF!,0))),"Sell",INDEX('Inventaire M'!$A$2:$AD$9319,MATCH(R331,'Inventaire M'!$A:$A,0)-1,MATCH("quantite",'Inventaire M'!#REF!,0))))</f>
        <v>Sell</v>
      </c>
      <c r="Z331" s="175"/>
      <c r="AA331" s="155" t="e">
        <f>IF(R331="-","",INDEX('Inventaire M-1'!$A$2:$AG$9334,MATCH(R331,'Inventaire M-1'!$A:$A,0)-1,MATCH("poids",'Inventaire M-1'!#REF!,0)))</f>
        <v>#REF!</v>
      </c>
      <c r="AB331" s="155" t="str">
        <f>IF(R331="-","",IF(ISERROR(INDEX('Inventaire M'!$A$2:$AD$9319,MATCH(R331,'Inventaire M'!$A:$A,0)-1,MATCH("poids",'Inventaire M'!#REF!,0))),"Sell",INDEX('Inventaire M'!$A$2:$AD$9319,MATCH(R331,'Inventaire M'!$A:$A,0)-1,MATCH("poids",'Inventaire M'!#REF!,0))))</f>
        <v>Sell</v>
      </c>
      <c r="AC331" s="175"/>
      <c r="AD331" s="157" t="str">
        <f t="shared" si="33"/>
        <v>0</v>
      </c>
      <c r="AE331" s="98" t="str">
        <f t="shared" si="34"/>
        <v/>
      </c>
      <c r="AF331" s="80" t="str">
        <f t="shared" si="35"/>
        <v>CHEPLAPHARM ARZNEIMITTEL GMBH 7.5 15/05/2030</v>
      </c>
    </row>
    <row r="332" spans="2:32" outlineLevel="1">
      <c r="B332" s="175" t="str">
        <f>IF(OR('Inventaire M'!D110="Dispo/Liquidité Investie",'Inventaire M'!D110="Option/Future",'Inventaire M'!D110="TCN",'Inventaire M'!D110=""),"-",'Inventaire M'!A110)</f>
        <v>XS2805249641</v>
      </c>
      <c r="C332" s="175" t="str">
        <f>IF(OR('Inventaire M'!D110="Dispo/Liquidité Investie",'Inventaire M'!D110="Option/Future",'Inventaire M'!D110="TCN",'Inventaire M'!D110=""),"-",'Inventaire M'!B110)</f>
        <v>SYNTHOMER PLC 7.375 02/05/2029</v>
      </c>
      <c r="D332" s="175"/>
      <c r="E332" s="175" t="e">
        <f>IF(B332="-","",INDEX('Inventaire M'!$A$2:$AW$9305,MATCH(B332,'Inventaire M'!$A:$A,0)-1,MATCH("Cours EUR",'Inventaire M'!#REF!,0)))</f>
        <v>#REF!</v>
      </c>
      <c r="F332" s="175" t="str">
        <f>IF(B332="-","",IF(ISERROR(INDEX('Inventaire M-1'!$A$2:$AZ$9320,MATCH(B332,'Inventaire M-1'!$A:$A,0)-1,MATCH("Cours EUR",'Inventaire M-1'!#REF!,0))),"Buy",INDEX('Inventaire M-1'!$A$2:$AZ$9320,MATCH(B332,'Inventaire M-1'!$A:$A,0)-1,MATCH("Cours EUR",'Inventaire M-1'!#REF!,0))))</f>
        <v>Buy</v>
      </c>
      <c r="G332" s="175"/>
      <c r="H332" s="156" t="e">
        <f>IF(B332="-","",INDEX('Inventaire M'!$A$2:$AW$9305,MATCH(B332,'Inventaire M'!$A:$A,0)-1,MATCH("quantite",'Inventaire M'!#REF!,0)))</f>
        <v>#REF!</v>
      </c>
      <c r="I332" s="156" t="str">
        <f>IF(C332="-","",IF(ISERROR(INDEX('Inventaire M-1'!$A$2:$AZ$9320,MATCH(B332,'Inventaire M-1'!$A:$A,0)-1,MATCH("quantite",'Inventaire M-1'!#REF!,0))),"Buy",INDEX('Inventaire M-1'!$A$2:$AZ$9320,MATCH(B332,'Inventaire M-1'!$A:$A,0)-1,MATCH("quantite",'Inventaire M-1'!#REF!,0))))</f>
        <v>Buy</v>
      </c>
      <c r="J332" s="175"/>
      <c r="K332" s="155" t="e">
        <f>IF(B332="-","",INDEX('Inventaire M'!$A$2:$AW$9305,MATCH(B332,'Inventaire M'!$A:$A,0)-1,MATCH("poids",'Inventaire M'!#REF!,0)))</f>
        <v>#REF!</v>
      </c>
      <c r="L332" s="155" t="str">
        <f>IF(B332="-","",IF(ISERROR(INDEX('Inventaire M-1'!$A$2:$AZ$9320,MATCH(B332,'Inventaire M-1'!$A:$A,0)-1,MATCH("poids",'Inventaire M-1'!#REF!,0))),"Buy",INDEX('Inventaire M-1'!$A$2:$AZ$9320,MATCH(B332,'Inventaire M-1'!$A:$A,0)-1,MATCH("poids",'Inventaire M-1'!#REF!,0))))</f>
        <v>Buy</v>
      </c>
      <c r="M332" s="175"/>
      <c r="N332" s="157" t="str">
        <f t="shared" si="30"/>
        <v>0</v>
      </c>
      <c r="O332" s="98" t="str">
        <f t="shared" si="31"/>
        <v/>
      </c>
      <c r="P332" s="80" t="str">
        <f t="shared" si="32"/>
        <v>SYNTHOMER PLC 7.375 02/05/2029</v>
      </c>
      <c r="Q332" s="75">
        <v>3.0799999999999998E-8</v>
      </c>
      <c r="R332" s="175" t="str">
        <f>IF(OR('Inventaire M-1'!D85="Dispo/Liquidité Investie",'Inventaire M-1'!D85="Option/Future",'Inventaire M-1'!D85="TCN",'Inventaire M-1'!D85=""),"-",'Inventaire M-1'!A85)</f>
        <v>XS2621830681</v>
      </c>
      <c r="S332" s="175" t="str">
        <f>IF(OR('Inventaire M-1'!D85="Dispo/Liquidité Investie",'Inventaire M-1'!D85="Option/Future",'Inventaire M-1'!D85="TCN",'Inventaire M-1'!D85=""),"-",'Inventaire M-1'!B85)</f>
        <v>EMERALD DEBT MERGER SUB LLC 6.375 15/12/2030</v>
      </c>
      <c r="T332" s="175"/>
      <c r="U332" s="175" t="e">
        <f>IF(R332="-","",INDEX('Inventaire M-1'!$A$2:$AG$9334,MATCH(R332,'Inventaire M-1'!$A:$A,0)-1,MATCH("Cours EUR",'Inventaire M-1'!#REF!,0)))</f>
        <v>#REF!</v>
      </c>
      <c r="V332" s="175" t="str">
        <f>IF(R332="-","",IF(ISERROR(INDEX('Inventaire M'!$A$2:$AD$9319,MATCH(R332,'Inventaire M'!$A:$A,0)-1,MATCH("Cours EUR",'Inventaire M'!#REF!,0))),"Sell",INDEX('Inventaire M'!$A$2:$AD$9319,MATCH(R332,'Inventaire M'!$A:$A,0)-1,MATCH("Cours EUR",'Inventaire M'!#REF!,0))))</f>
        <v>Sell</v>
      </c>
      <c r="W332" s="175"/>
      <c r="X332" s="156" t="e">
        <f>IF(R332="-","",INDEX('Inventaire M-1'!$A$2:$AG$9334,MATCH(R332,'Inventaire M-1'!$A:$A,0)-1,MATCH("quantite",'Inventaire M-1'!#REF!,0)))</f>
        <v>#REF!</v>
      </c>
      <c r="Y332" s="156" t="str">
        <f>IF(S332="-","",IF(ISERROR(INDEX('Inventaire M'!$A$2:$AD$9319,MATCH(R332,'Inventaire M'!$A:$A,0)-1,MATCH("quantite",'Inventaire M'!#REF!,0))),"Sell",INDEX('Inventaire M'!$A$2:$AD$9319,MATCH(R332,'Inventaire M'!$A:$A,0)-1,MATCH("quantite",'Inventaire M'!#REF!,0))))</f>
        <v>Sell</v>
      </c>
      <c r="Z332" s="175"/>
      <c r="AA332" s="155" t="e">
        <f>IF(R332="-","",INDEX('Inventaire M-1'!$A$2:$AG$9334,MATCH(R332,'Inventaire M-1'!$A:$A,0)-1,MATCH("poids",'Inventaire M-1'!#REF!,0)))</f>
        <v>#REF!</v>
      </c>
      <c r="AB332" s="155" t="str">
        <f>IF(R332="-","",IF(ISERROR(INDEX('Inventaire M'!$A$2:$AD$9319,MATCH(R332,'Inventaire M'!$A:$A,0)-1,MATCH("poids",'Inventaire M'!#REF!,0))),"Sell",INDEX('Inventaire M'!$A$2:$AD$9319,MATCH(R332,'Inventaire M'!$A:$A,0)-1,MATCH("poids",'Inventaire M'!#REF!,0))))</f>
        <v>Sell</v>
      </c>
      <c r="AC332" s="175"/>
      <c r="AD332" s="157" t="str">
        <f t="shared" si="33"/>
        <v>0</v>
      </c>
      <c r="AE332" s="98" t="str">
        <f t="shared" si="34"/>
        <v/>
      </c>
      <c r="AF332" s="80" t="str">
        <f t="shared" si="35"/>
        <v>EMERALD DEBT MERGER SUB LLC 6.375 15/12/2030</v>
      </c>
    </row>
    <row r="333" spans="2:32" outlineLevel="1">
      <c r="B333" s="175" t="str">
        <f>IF(OR('Inventaire M'!D111="Dispo/Liquidité Investie",'Inventaire M'!D111="Option/Future",'Inventaire M'!D111="TCN",'Inventaire M'!D111=""),"-",'Inventaire M'!A111)</f>
        <v>XS2806449190</v>
      </c>
      <c r="C333" s="175" t="str">
        <f>IF(OR('Inventaire M'!D111="Dispo/Liquidité Investie",'Inventaire M'!D111="Option/Future",'Inventaire M'!D111="TCN",'Inventaire M'!D111=""),"-",'Inventaire M'!B111)</f>
        <v>BOELS TOPHOLDING BV 5.75 15/05/2030</v>
      </c>
      <c r="D333" s="175"/>
      <c r="E333" s="175" t="e">
        <f>IF(B333="-","",INDEX('Inventaire M'!$A$2:$AW$9305,MATCH(B333,'Inventaire M'!$A:$A,0)-1,MATCH("Cours EUR",'Inventaire M'!#REF!,0)))</f>
        <v>#REF!</v>
      </c>
      <c r="F333" s="175" t="str">
        <f>IF(B333="-","",IF(ISERROR(INDEX('Inventaire M-1'!$A$2:$AZ$9320,MATCH(B333,'Inventaire M-1'!$A:$A,0)-1,MATCH("Cours EUR",'Inventaire M-1'!#REF!,0))),"Buy",INDEX('Inventaire M-1'!$A$2:$AZ$9320,MATCH(B333,'Inventaire M-1'!$A:$A,0)-1,MATCH("Cours EUR",'Inventaire M-1'!#REF!,0))))</f>
        <v>Buy</v>
      </c>
      <c r="G333" s="175"/>
      <c r="H333" s="156" t="e">
        <f>IF(B333="-","",INDEX('Inventaire M'!$A$2:$AW$9305,MATCH(B333,'Inventaire M'!$A:$A,0)-1,MATCH("quantite",'Inventaire M'!#REF!,0)))</f>
        <v>#REF!</v>
      </c>
      <c r="I333" s="156" t="str">
        <f>IF(C333="-","",IF(ISERROR(INDEX('Inventaire M-1'!$A$2:$AZ$9320,MATCH(B333,'Inventaire M-1'!$A:$A,0)-1,MATCH("quantite",'Inventaire M-1'!#REF!,0))),"Buy",INDEX('Inventaire M-1'!$A$2:$AZ$9320,MATCH(B333,'Inventaire M-1'!$A:$A,0)-1,MATCH("quantite",'Inventaire M-1'!#REF!,0))))</f>
        <v>Buy</v>
      </c>
      <c r="J333" s="175"/>
      <c r="K333" s="155" t="e">
        <f>IF(B333="-","",INDEX('Inventaire M'!$A$2:$AW$9305,MATCH(B333,'Inventaire M'!$A:$A,0)-1,MATCH("poids",'Inventaire M'!#REF!,0)))</f>
        <v>#REF!</v>
      </c>
      <c r="L333" s="155" t="str">
        <f>IF(B333="-","",IF(ISERROR(INDEX('Inventaire M-1'!$A$2:$AZ$9320,MATCH(B333,'Inventaire M-1'!$A:$A,0)-1,MATCH("poids",'Inventaire M-1'!#REF!,0))),"Buy",INDEX('Inventaire M-1'!$A$2:$AZ$9320,MATCH(B333,'Inventaire M-1'!$A:$A,0)-1,MATCH("poids",'Inventaire M-1'!#REF!,0))))</f>
        <v>Buy</v>
      </c>
      <c r="M333" s="175"/>
      <c r="N333" s="157" t="str">
        <f t="shared" si="30"/>
        <v>0</v>
      </c>
      <c r="O333" s="98" t="str">
        <f t="shared" si="31"/>
        <v/>
      </c>
      <c r="P333" s="80" t="str">
        <f t="shared" si="32"/>
        <v>BOELS TOPHOLDING BV 5.75 15/05/2030</v>
      </c>
      <c r="Q333" s="75">
        <v>3.0899999999999999E-8</v>
      </c>
      <c r="R333" s="175" t="str">
        <f>IF(OR('Inventaire M-1'!D86="Dispo/Liquidité Investie",'Inventaire M-1'!D86="Option/Future",'Inventaire M-1'!D86="TCN",'Inventaire M-1'!D86=""),"-",'Inventaire M-1'!A86)</f>
        <v>XS2623604233</v>
      </c>
      <c r="S333" s="175" t="str">
        <f>IF(OR('Inventaire M-1'!D86="Dispo/Liquidité Investie",'Inventaire M-1'!D86="Option/Future",'Inventaire M-1'!D86="TCN",'Inventaire M-1'!D86=""),"-",'Inventaire M-1'!B86)</f>
        <v>ADLER PELZER HOLDING GMBH 9.5 01/04/2027</v>
      </c>
      <c r="T333" s="175"/>
      <c r="U333" s="175" t="e">
        <f>IF(R333="-","",INDEX('Inventaire M-1'!$A$2:$AG$9334,MATCH(R333,'Inventaire M-1'!$A:$A,0)-1,MATCH("Cours EUR",'Inventaire M-1'!#REF!,0)))</f>
        <v>#REF!</v>
      </c>
      <c r="V333" s="175" t="str">
        <f>IF(R333="-","",IF(ISERROR(INDEX('Inventaire M'!$A$2:$AD$9319,MATCH(R333,'Inventaire M'!$A:$A,0)-1,MATCH("Cours EUR",'Inventaire M'!#REF!,0))),"Sell",INDEX('Inventaire M'!$A$2:$AD$9319,MATCH(R333,'Inventaire M'!$A:$A,0)-1,MATCH("Cours EUR",'Inventaire M'!#REF!,0))))</f>
        <v>Sell</v>
      </c>
      <c r="W333" s="175"/>
      <c r="X333" s="156" t="e">
        <f>IF(R333="-","",INDEX('Inventaire M-1'!$A$2:$AG$9334,MATCH(R333,'Inventaire M-1'!$A:$A,0)-1,MATCH("quantite",'Inventaire M-1'!#REF!,0)))</f>
        <v>#REF!</v>
      </c>
      <c r="Y333" s="156" t="str">
        <f>IF(S333="-","",IF(ISERROR(INDEX('Inventaire M'!$A$2:$AD$9319,MATCH(R333,'Inventaire M'!$A:$A,0)-1,MATCH("quantite",'Inventaire M'!#REF!,0))),"Sell",INDEX('Inventaire M'!$A$2:$AD$9319,MATCH(R333,'Inventaire M'!$A:$A,0)-1,MATCH("quantite",'Inventaire M'!#REF!,0))))</f>
        <v>Sell</v>
      </c>
      <c r="Z333" s="175"/>
      <c r="AA333" s="155" t="e">
        <f>IF(R333="-","",INDEX('Inventaire M-1'!$A$2:$AG$9334,MATCH(R333,'Inventaire M-1'!$A:$A,0)-1,MATCH("poids",'Inventaire M-1'!#REF!,0)))</f>
        <v>#REF!</v>
      </c>
      <c r="AB333" s="155" t="str">
        <f>IF(R333="-","",IF(ISERROR(INDEX('Inventaire M'!$A$2:$AD$9319,MATCH(R333,'Inventaire M'!$A:$A,0)-1,MATCH("poids",'Inventaire M'!#REF!,0))),"Sell",INDEX('Inventaire M'!$A$2:$AD$9319,MATCH(R333,'Inventaire M'!$A:$A,0)-1,MATCH("poids",'Inventaire M'!#REF!,0))))</f>
        <v>Sell</v>
      </c>
      <c r="AC333" s="175"/>
      <c r="AD333" s="157" t="str">
        <f t="shared" si="33"/>
        <v>0</v>
      </c>
      <c r="AE333" s="98" t="str">
        <f t="shared" si="34"/>
        <v/>
      </c>
      <c r="AF333" s="80" t="str">
        <f t="shared" si="35"/>
        <v>ADLER PELZER HOLDING GMBH 9.5 01/04/2027</v>
      </c>
    </row>
    <row r="334" spans="2:32" outlineLevel="1">
      <c r="B334" s="175" t="str">
        <f>IF(OR('Inventaire M'!D112="Dispo/Liquidité Investie",'Inventaire M'!D112="Option/Future",'Inventaire M'!D112="TCN",'Inventaire M'!D112=""),"-",'Inventaire M'!A112)</f>
        <v>XS2810807094</v>
      </c>
      <c r="C334" s="175" t="str">
        <f>IF(OR('Inventaire M'!D112="Dispo/Liquidité Investie",'Inventaire M'!D112="Option/Future",'Inventaire M'!D112="TCN",'Inventaire M'!D112=""),"-",'Inventaire M'!B112)</f>
        <v>ILIAD HOLDING SAS 6.875 15/04/2031</v>
      </c>
      <c r="D334" s="175"/>
      <c r="E334" s="175" t="e">
        <f>IF(B334="-","",INDEX('Inventaire M'!$A$2:$AW$9305,MATCH(B334,'Inventaire M'!$A:$A,0)-1,MATCH("Cours EUR",'Inventaire M'!#REF!,0)))</f>
        <v>#REF!</v>
      </c>
      <c r="F334" s="175" t="str">
        <f>IF(B334="-","",IF(ISERROR(INDEX('Inventaire M-1'!$A$2:$AZ$9320,MATCH(B334,'Inventaire M-1'!$A:$A,0)-1,MATCH("Cours EUR",'Inventaire M-1'!#REF!,0))),"Buy",INDEX('Inventaire M-1'!$A$2:$AZ$9320,MATCH(B334,'Inventaire M-1'!$A:$A,0)-1,MATCH("Cours EUR",'Inventaire M-1'!#REF!,0))))</f>
        <v>Buy</v>
      </c>
      <c r="G334" s="175"/>
      <c r="H334" s="156" t="e">
        <f>IF(B334="-","",INDEX('Inventaire M'!$A$2:$AW$9305,MATCH(B334,'Inventaire M'!$A:$A,0)-1,MATCH("quantite",'Inventaire M'!#REF!,0)))</f>
        <v>#REF!</v>
      </c>
      <c r="I334" s="156" t="str">
        <f>IF(C334="-","",IF(ISERROR(INDEX('Inventaire M-1'!$A$2:$AZ$9320,MATCH(B334,'Inventaire M-1'!$A:$A,0)-1,MATCH("quantite",'Inventaire M-1'!#REF!,0))),"Buy",INDEX('Inventaire M-1'!$A$2:$AZ$9320,MATCH(B334,'Inventaire M-1'!$A:$A,0)-1,MATCH("quantite",'Inventaire M-1'!#REF!,0))))</f>
        <v>Buy</v>
      </c>
      <c r="J334" s="175"/>
      <c r="K334" s="155" t="e">
        <f>IF(B334="-","",INDEX('Inventaire M'!$A$2:$AW$9305,MATCH(B334,'Inventaire M'!$A:$A,0)-1,MATCH("poids",'Inventaire M'!#REF!,0)))</f>
        <v>#REF!</v>
      </c>
      <c r="L334" s="155" t="str">
        <f>IF(B334="-","",IF(ISERROR(INDEX('Inventaire M-1'!$A$2:$AZ$9320,MATCH(B334,'Inventaire M-1'!$A:$A,0)-1,MATCH("poids",'Inventaire M-1'!#REF!,0))),"Buy",INDEX('Inventaire M-1'!$A$2:$AZ$9320,MATCH(B334,'Inventaire M-1'!$A:$A,0)-1,MATCH("poids",'Inventaire M-1'!#REF!,0))))</f>
        <v>Buy</v>
      </c>
      <c r="M334" s="175"/>
      <c r="N334" s="157" t="str">
        <f t="shared" si="30"/>
        <v>0</v>
      </c>
      <c r="O334" s="98" t="str">
        <f t="shared" si="31"/>
        <v/>
      </c>
      <c r="P334" s="80" t="str">
        <f t="shared" si="32"/>
        <v>ILIAD HOLDING SAS 6.875 15/04/2031</v>
      </c>
      <c r="Q334" s="75">
        <v>3.1E-8</v>
      </c>
      <c r="R334" s="175" t="str">
        <f>IF(OR('Inventaire M-1'!D87="Dispo/Liquidité Investie",'Inventaire M-1'!D87="Option/Future",'Inventaire M-1'!D87="TCN",'Inventaire M-1'!D87=""),"-",'Inventaire M-1'!A87)</f>
        <v>XS2637954582</v>
      </c>
      <c r="S334" s="175" t="str">
        <f>IF(OR('Inventaire M-1'!D87="Dispo/Liquidité Investie",'Inventaire M-1'!D87="Option/Future",'Inventaire M-1'!D87="TCN",'Inventaire M-1'!D87=""),"-",'Inventaire M-1'!B87)</f>
        <v>TELECOM ITALIA SPA 7.875 31/07/2028</v>
      </c>
      <c r="T334" s="175"/>
      <c r="U334" s="175" t="e">
        <f>IF(R334="-","",INDEX('Inventaire M-1'!$A$2:$AG$9334,MATCH(R334,'Inventaire M-1'!$A:$A,0)-1,MATCH("Cours EUR",'Inventaire M-1'!#REF!,0)))</f>
        <v>#REF!</v>
      </c>
      <c r="V334" s="175" t="str">
        <f>IF(R334="-","",IF(ISERROR(INDEX('Inventaire M'!$A$2:$AD$9319,MATCH(R334,'Inventaire M'!$A:$A,0)-1,MATCH("Cours EUR",'Inventaire M'!#REF!,0))),"Sell",INDEX('Inventaire M'!$A$2:$AD$9319,MATCH(R334,'Inventaire M'!$A:$A,0)-1,MATCH("Cours EUR",'Inventaire M'!#REF!,0))))</f>
        <v>Sell</v>
      </c>
      <c r="W334" s="175"/>
      <c r="X334" s="156" t="e">
        <f>IF(R334="-","",INDEX('Inventaire M-1'!$A$2:$AG$9334,MATCH(R334,'Inventaire M-1'!$A:$A,0)-1,MATCH("quantite",'Inventaire M-1'!#REF!,0)))</f>
        <v>#REF!</v>
      </c>
      <c r="Y334" s="156" t="str">
        <f>IF(S334="-","",IF(ISERROR(INDEX('Inventaire M'!$A$2:$AD$9319,MATCH(R334,'Inventaire M'!$A:$A,0)-1,MATCH("quantite",'Inventaire M'!#REF!,0))),"Sell",INDEX('Inventaire M'!$A$2:$AD$9319,MATCH(R334,'Inventaire M'!$A:$A,0)-1,MATCH("quantite",'Inventaire M'!#REF!,0))))</f>
        <v>Sell</v>
      </c>
      <c r="Z334" s="175"/>
      <c r="AA334" s="155" t="e">
        <f>IF(R334="-","",INDEX('Inventaire M-1'!$A$2:$AG$9334,MATCH(R334,'Inventaire M-1'!$A:$A,0)-1,MATCH("poids",'Inventaire M-1'!#REF!,0)))</f>
        <v>#REF!</v>
      </c>
      <c r="AB334" s="155" t="str">
        <f>IF(R334="-","",IF(ISERROR(INDEX('Inventaire M'!$A$2:$AD$9319,MATCH(R334,'Inventaire M'!$A:$A,0)-1,MATCH("poids",'Inventaire M'!#REF!,0))),"Sell",INDEX('Inventaire M'!$A$2:$AD$9319,MATCH(R334,'Inventaire M'!$A:$A,0)-1,MATCH("poids",'Inventaire M'!#REF!,0))))</f>
        <v>Sell</v>
      </c>
      <c r="AC334" s="175"/>
      <c r="AD334" s="157" t="str">
        <f t="shared" si="33"/>
        <v>0</v>
      </c>
      <c r="AE334" s="98" t="str">
        <f t="shared" si="34"/>
        <v/>
      </c>
      <c r="AF334" s="80" t="str">
        <f t="shared" si="35"/>
        <v>TELECOM ITALIA SPA 7.875 31/07/2028</v>
      </c>
    </row>
    <row r="335" spans="2:32" outlineLevel="1">
      <c r="B335" s="175" t="str">
        <f>IF(OR('Inventaire M'!D113="Dispo/Liquidité Investie",'Inventaire M'!D113="Option/Future",'Inventaire M'!D113="TCN",'Inventaire M'!D113=""),"-",'Inventaire M'!A113)</f>
        <v>XS2811097075</v>
      </c>
      <c r="C335" s="175" t="str">
        <f>IF(OR('Inventaire M'!D113="Dispo/Liquidité Investie",'Inventaire M'!D113="Option/Future",'Inventaire M'!D113="TCN",'Inventaire M'!D113=""),"-",'Inventaire M'!B113)</f>
        <v>VOLVO CAR AB 4.75 08/05/2030</v>
      </c>
      <c r="D335" s="175"/>
      <c r="E335" s="175" t="e">
        <f>IF(B335="-","",INDEX('Inventaire M'!$A$2:$AW$9305,MATCH(B335,'Inventaire M'!$A:$A,0)-1,MATCH("Cours EUR",'Inventaire M'!#REF!,0)))</f>
        <v>#REF!</v>
      </c>
      <c r="F335" s="175" t="str">
        <f>IF(B335="-","",IF(ISERROR(INDEX('Inventaire M-1'!$A$2:$AZ$9320,MATCH(B335,'Inventaire M-1'!$A:$A,0)-1,MATCH("Cours EUR",'Inventaire M-1'!#REF!,0))),"Buy",INDEX('Inventaire M-1'!$A$2:$AZ$9320,MATCH(B335,'Inventaire M-1'!$A:$A,0)-1,MATCH("Cours EUR",'Inventaire M-1'!#REF!,0))))</f>
        <v>Buy</v>
      </c>
      <c r="G335" s="175"/>
      <c r="H335" s="156" t="e">
        <f>IF(B335="-","",INDEX('Inventaire M'!$A$2:$AW$9305,MATCH(B335,'Inventaire M'!$A:$A,0)-1,MATCH("quantite",'Inventaire M'!#REF!,0)))</f>
        <v>#REF!</v>
      </c>
      <c r="I335" s="156" t="str">
        <f>IF(C335="-","",IF(ISERROR(INDEX('Inventaire M-1'!$A$2:$AZ$9320,MATCH(B335,'Inventaire M-1'!$A:$A,0)-1,MATCH("quantite",'Inventaire M-1'!#REF!,0))),"Buy",INDEX('Inventaire M-1'!$A$2:$AZ$9320,MATCH(B335,'Inventaire M-1'!$A:$A,0)-1,MATCH("quantite",'Inventaire M-1'!#REF!,0))))</f>
        <v>Buy</v>
      </c>
      <c r="J335" s="175"/>
      <c r="K335" s="155" t="e">
        <f>IF(B335="-","",INDEX('Inventaire M'!$A$2:$AW$9305,MATCH(B335,'Inventaire M'!$A:$A,0)-1,MATCH("poids",'Inventaire M'!#REF!,0)))</f>
        <v>#REF!</v>
      </c>
      <c r="L335" s="155" t="str">
        <f>IF(B335="-","",IF(ISERROR(INDEX('Inventaire M-1'!$A$2:$AZ$9320,MATCH(B335,'Inventaire M-1'!$A:$A,0)-1,MATCH("poids",'Inventaire M-1'!#REF!,0))),"Buy",INDEX('Inventaire M-1'!$A$2:$AZ$9320,MATCH(B335,'Inventaire M-1'!$A:$A,0)-1,MATCH("poids",'Inventaire M-1'!#REF!,0))))</f>
        <v>Buy</v>
      </c>
      <c r="M335" s="175"/>
      <c r="N335" s="157" t="str">
        <f t="shared" si="30"/>
        <v>0</v>
      </c>
      <c r="O335" s="98" t="str">
        <f t="shared" si="31"/>
        <v/>
      </c>
      <c r="P335" s="80" t="str">
        <f t="shared" si="32"/>
        <v>VOLVO CAR AB 4.75 08/05/2030</v>
      </c>
      <c r="Q335" s="75">
        <v>3.1100000000000001E-8</v>
      </c>
      <c r="R335" s="175" t="str">
        <f>IF(OR('Inventaire M-1'!D88="Dispo/Liquidité Investie",'Inventaire M-1'!D88="Option/Future",'Inventaire M-1'!D88="TCN",'Inventaire M-1'!D88=""),"-",'Inventaire M-1'!A88)</f>
        <v>XS2641928036</v>
      </c>
      <c r="S335" s="175" t="str">
        <f>IF(OR('Inventaire M-1'!D88="Dispo/Liquidité Investie",'Inventaire M-1'!D88="Option/Future",'Inventaire M-1'!D88="TCN",'Inventaire M-1'!D88=""),"-",'Inventaire M-1'!B88)</f>
        <v>PLAYTECH PLC 5.875 28/06/2028</v>
      </c>
      <c r="T335" s="175"/>
      <c r="U335" s="175" t="e">
        <f>IF(R335="-","",INDEX('Inventaire M-1'!$A$2:$AG$9334,MATCH(R335,'Inventaire M-1'!$A:$A,0)-1,MATCH("Cours EUR",'Inventaire M-1'!#REF!,0)))</f>
        <v>#REF!</v>
      </c>
      <c r="V335" s="175" t="str">
        <f>IF(R335="-","",IF(ISERROR(INDEX('Inventaire M'!$A$2:$AD$9319,MATCH(R335,'Inventaire M'!$A:$A,0)-1,MATCH("Cours EUR",'Inventaire M'!#REF!,0))),"Sell",INDEX('Inventaire M'!$A$2:$AD$9319,MATCH(R335,'Inventaire M'!$A:$A,0)-1,MATCH("Cours EUR",'Inventaire M'!#REF!,0))))</f>
        <v>Sell</v>
      </c>
      <c r="W335" s="175"/>
      <c r="X335" s="156" t="e">
        <f>IF(R335="-","",INDEX('Inventaire M-1'!$A$2:$AG$9334,MATCH(R335,'Inventaire M-1'!$A:$A,0)-1,MATCH("quantite",'Inventaire M-1'!#REF!,0)))</f>
        <v>#REF!</v>
      </c>
      <c r="Y335" s="156" t="str">
        <f>IF(S335="-","",IF(ISERROR(INDEX('Inventaire M'!$A$2:$AD$9319,MATCH(R335,'Inventaire M'!$A:$A,0)-1,MATCH("quantite",'Inventaire M'!#REF!,0))),"Sell",INDEX('Inventaire M'!$A$2:$AD$9319,MATCH(R335,'Inventaire M'!$A:$A,0)-1,MATCH("quantite",'Inventaire M'!#REF!,0))))</f>
        <v>Sell</v>
      </c>
      <c r="Z335" s="175"/>
      <c r="AA335" s="155" t="e">
        <f>IF(R335="-","",INDEX('Inventaire M-1'!$A$2:$AG$9334,MATCH(R335,'Inventaire M-1'!$A:$A,0)-1,MATCH("poids",'Inventaire M-1'!#REF!,0)))</f>
        <v>#REF!</v>
      </c>
      <c r="AB335" s="155" t="str">
        <f>IF(R335="-","",IF(ISERROR(INDEX('Inventaire M'!$A$2:$AD$9319,MATCH(R335,'Inventaire M'!$A:$A,0)-1,MATCH("poids",'Inventaire M'!#REF!,0))),"Sell",INDEX('Inventaire M'!$A$2:$AD$9319,MATCH(R335,'Inventaire M'!$A:$A,0)-1,MATCH("poids",'Inventaire M'!#REF!,0))))</f>
        <v>Sell</v>
      </c>
      <c r="AC335" s="175"/>
      <c r="AD335" s="157" t="str">
        <f t="shared" si="33"/>
        <v>0</v>
      </c>
      <c r="AE335" s="98" t="str">
        <f t="shared" si="34"/>
        <v/>
      </c>
      <c r="AF335" s="80" t="str">
        <f t="shared" si="35"/>
        <v>PLAYTECH PLC 5.875 28/06/2028</v>
      </c>
    </row>
    <row r="336" spans="2:32" outlineLevel="1">
      <c r="B336" s="175" t="str">
        <f>IF(OR('Inventaire M'!D114="Dispo/Liquidité Investie",'Inventaire M'!D114="Option/Future",'Inventaire M'!D114="TCN",'Inventaire M'!D114=""),"-",'Inventaire M'!A114)</f>
        <v>XS2824643220</v>
      </c>
      <c r="C336" s="175" t="str">
        <f>IF(OR('Inventaire M'!D114="Dispo/Liquidité Investie",'Inventaire M'!D114="Option/Future",'Inventaire M'!D114="TCN",'Inventaire M'!D114=""),"-",'Inventaire M'!B114)</f>
        <v>LOTTOMATICA SPA 5.375 01/06/2030</v>
      </c>
      <c r="D336" s="175"/>
      <c r="E336" s="175" t="e">
        <f>IF(B336="-","",INDEX('Inventaire M'!$A$2:$AW$9305,MATCH(B336,'Inventaire M'!$A:$A,0)-1,MATCH("Cours EUR",'Inventaire M'!#REF!,0)))</f>
        <v>#REF!</v>
      </c>
      <c r="F336" s="175" t="str">
        <f>IF(B336="-","",IF(ISERROR(INDEX('Inventaire M-1'!$A$2:$AZ$9320,MATCH(B336,'Inventaire M-1'!$A:$A,0)-1,MATCH("Cours EUR",'Inventaire M-1'!#REF!,0))),"Buy",INDEX('Inventaire M-1'!$A$2:$AZ$9320,MATCH(B336,'Inventaire M-1'!$A:$A,0)-1,MATCH("Cours EUR",'Inventaire M-1'!#REF!,0))))</f>
        <v>Buy</v>
      </c>
      <c r="G336" s="175"/>
      <c r="H336" s="156" t="e">
        <f>IF(B336="-","",INDEX('Inventaire M'!$A$2:$AW$9305,MATCH(B336,'Inventaire M'!$A:$A,0)-1,MATCH("quantite",'Inventaire M'!#REF!,0)))</f>
        <v>#REF!</v>
      </c>
      <c r="I336" s="156" t="str">
        <f>IF(C336="-","",IF(ISERROR(INDEX('Inventaire M-1'!$A$2:$AZ$9320,MATCH(B336,'Inventaire M-1'!$A:$A,0)-1,MATCH("quantite",'Inventaire M-1'!#REF!,0))),"Buy",INDEX('Inventaire M-1'!$A$2:$AZ$9320,MATCH(B336,'Inventaire M-1'!$A:$A,0)-1,MATCH("quantite",'Inventaire M-1'!#REF!,0))))</f>
        <v>Buy</v>
      </c>
      <c r="J336" s="175"/>
      <c r="K336" s="155" t="e">
        <f>IF(B336="-","",INDEX('Inventaire M'!$A$2:$AW$9305,MATCH(B336,'Inventaire M'!$A:$A,0)-1,MATCH("poids",'Inventaire M'!#REF!,0)))</f>
        <v>#REF!</v>
      </c>
      <c r="L336" s="155" t="str">
        <f>IF(B336="-","",IF(ISERROR(INDEX('Inventaire M-1'!$A$2:$AZ$9320,MATCH(B336,'Inventaire M-1'!$A:$A,0)-1,MATCH("poids",'Inventaire M-1'!#REF!,0))),"Buy",INDEX('Inventaire M-1'!$A$2:$AZ$9320,MATCH(B336,'Inventaire M-1'!$A:$A,0)-1,MATCH("poids",'Inventaire M-1'!#REF!,0))))</f>
        <v>Buy</v>
      </c>
      <c r="M336" s="175"/>
      <c r="N336" s="157" t="str">
        <f t="shared" si="30"/>
        <v>0</v>
      </c>
      <c r="O336" s="98" t="str">
        <f t="shared" si="31"/>
        <v/>
      </c>
      <c r="P336" s="80" t="str">
        <f t="shared" si="32"/>
        <v>LOTTOMATICA SPA 5.375 01/06/2030</v>
      </c>
      <c r="Q336" s="75">
        <v>3.1200000000000001E-8</v>
      </c>
      <c r="R336" s="175" t="str">
        <f>IF(OR('Inventaire M-1'!D89="Dispo/Liquidité Investie",'Inventaire M-1'!D89="Option/Future",'Inventaire M-1'!D89="TCN",'Inventaire M-1'!D89=""),"-",'Inventaire M-1'!A89)</f>
        <v>XS2648489388</v>
      </c>
      <c r="S336" s="175" t="str">
        <f>IF(OR('Inventaire M-1'!D89="Dispo/Liquidité Investie",'Inventaire M-1'!D89="Option/Future",'Inventaire M-1'!D89="TCN",'Inventaire M-1'!D89=""),"-",'Inventaire M-1'!B89)</f>
        <v>AVIS BUDGET FINANCE PLC 7.25 31/07/2030</v>
      </c>
      <c r="T336" s="175"/>
      <c r="U336" s="175" t="e">
        <f>IF(R336="-","",INDEX('Inventaire M-1'!$A$2:$AG$9334,MATCH(R336,'Inventaire M-1'!$A:$A,0)-1,MATCH("Cours EUR",'Inventaire M-1'!#REF!,0)))</f>
        <v>#REF!</v>
      </c>
      <c r="V336" s="175" t="str">
        <f>IF(R336="-","",IF(ISERROR(INDEX('Inventaire M'!$A$2:$AD$9319,MATCH(R336,'Inventaire M'!$A:$A,0)-1,MATCH("Cours EUR",'Inventaire M'!#REF!,0))),"Sell",INDEX('Inventaire M'!$A$2:$AD$9319,MATCH(R336,'Inventaire M'!$A:$A,0)-1,MATCH("Cours EUR",'Inventaire M'!#REF!,0))))</f>
        <v>Sell</v>
      </c>
      <c r="W336" s="175"/>
      <c r="X336" s="156" t="e">
        <f>IF(R336="-","",INDEX('Inventaire M-1'!$A$2:$AG$9334,MATCH(R336,'Inventaire M-1'!$A:$A,0)-1,MATCH("quantite",'Inventaire M-1'!#REF!,0)))</f>
        <v>#REF!</v>
      </c>
      <c r="Y336" s="156" t="str">
        <f>IF(S336="-","",IF(ISERROR(INDEX('Inventaire M'!$A$2:$AD$9319,MATCH(R336,'Inventaire M'!$A:$A,0)-1,MATCH("quantite",'Inventaire M'!#REF!,0))),"Sell",INDEX('Inventaire M'!$A$2:$AD$9319,MATCH(R336,'Inventaire M'!$A:$A,0)-1,MATCH("quantite",'Inventaire M'!#REF!,0))))</f>
        <v>Sell</v>
      </c>
      <c r="Z336" s="175"/>
      <c r="AA336" s="155" t="e">
        <f>IF(R336="-","",INDEX('Inventaire M-1'!$A$2:$AG$9334,MATCH(R336,'Inventaire M-1'!$A:$A,0)-1,MATCH("poids",'Inventaire M-1'!#REF!,0)))</f>
        <v>#REF!</v>
      </c>
      <c r="AB336" s="155" t="str">
        <f>IF(R336="-","",IF(ISERROR(INDEX('Inventaire M'!$A$2:$AD$9319,MATCH(R336,'Inventaire M'!$A:$A,0)-1,MATCH("poids",'Inventaire M'!#REF!,0))),"Sell",INDEX('Inventaire M'!$A$2:$AD$9319,MATCH(R336,'Inventaire M'!$A:$A,0)-1,MATCH("poids",'Inventaire M'!#REF!,0))))</f>
        <v>Sell</v>
      </c>
      <c r="AC336" s="175"/>
      <c r="AD336" s="157" t="str">
        <f t="shared" si="33"/>
        <v>0</v>
      </c>
      <c r="AE336" s="98" t="str">
        <f t="shared" si="34"/>
        <v/>
      </c>
      <c r="AF336" s="80" t="str">
        <f t="shared" si="35"/>
        <v>AVIS BUDGET FINANCE PLC 7.25 31/07/2030</v>
      </c>
    </row>
    <row r="337" spans="2:32" outlineLevel="1">
      <c r="B337" s="175" t="str">
        <f>IF(OR('Inventaire M'!D115="Dispo/Liquidité Investie",'Inventaire M'!D115="Option/Future",'Inventaire M'!D115="TCN",'Inventaire M'!D115=""),"-",'Inventaire M'!A115)</f>
        <v>XS2824778075</v>
      </c>
      <c r="C337" s="175" t="str">
        <f>IF(OR('Inventaire M'!D115="Dispo/Liquidité Investie",'Inventaire M'!D115="Option/Future",'Inventaire M'!D115="TCN",'Inventaire M'!D115=""),"-",'Inventaire M'!B115)</f>
        <v>KONINKLIJKE KPN NV PERP</v>
      </c>
      <c r="D337" s="175"/>
      <c r="E337" s="175" t="e">
        <f>IF(B337="-","",INDEX('Inventaire M'!$A$2:$AW$9305,MATCH(B337,'Inventaire M'!$A:$A,0)-1,MATCH("Cours EUR",'Inventaire M'!#REF!,0)))</f>
        <v>#REF!</v>
      </c>
      <c r="F337" s="175" t="str">
        <f>IF(B337="-","",IF(ISERROR(INDEX('Inventaire M-1'!$A$2:$AZ$9320,MATCH(B337,'Inventaire M-1'!$A:$A,0)-1,MATCH("Cours EUR",'Inventaire M-1'!#REF!,0))),"Buy",INDEX('Inventaire M-1'!$A$2:$AZ$9320,MATCH(B337,'Inventaire M-1'!$A:$A,0)-1,MATCH("Cours EUR",'Inventaire M-1'!#REF!,0))))</f>
        <v>Buy</v>
      </c>
      <c r="G337" s="175"/>
      <c r="H337" s="156" t="e">
        <f>IF(B337="-","",INDEX('Inventaire M'!$A$2:$AW$9305,MATCH(B337,'Inventaire M'!$A:$A,0)-1,MATCH("quantite",'Inventaire M'!#REF!,0)))</f>
        <v>#REF!</v>
      </c>
      <c r="I337" s="156" t="str">
        <f>IF(C337="-","",IF(ISERROR(INDEX('Inventaire M-1'!$A$2:$AZ$9320,MATCH(B337,'Inventaire M-1'!$A:$A,0)-1,MATCH("quantite",'Inventaire M-1'!#REF!,0))),"Buy",INDEX('Inventaire M-1'!$A$2:$AZ$9320,MATCH(B337,'Inventaire M-1'!$A:$A,0)-1,MATCH("quantite",'Inventaire M-1'!#REF!,0))))</f>
        <v>Buy</v>
      </c>
      <c r="J337" s="175"/>
      <c r="K337" s="155" t="e">
        <f>IF(B337="-","",INDEX('Inventaire M'!$A$2:$AW$9305,MATCH(B337,'Inventaire M'!$A:$A,0)-1,MATCH("poids",'Inventaire M'!#REF!,0)))</f>
        <v>#REF!</v>
      </c>
      <c r="L337" s="155" t="str">
        <f>IF(B337="-","",IF(ISERROR(INDEX('Inventaire M-1'!$A$2:$AZ$9320,MATCH(B337,'Inventaire M-1'!$A:$A,0)-1,MATCH("poids",'Inventaire M-1'!#REF!,0))),"Buy",INDEX('Inventaire M-1'!$A$2:$AZ$9320,MATCH(B337,'Inventaire M-1'!$A:$A,0)-1,MATCH("poids",'Inventaire M-1'!#REF!,0))))</f>
        <v>Buy</v>
      </c>
      <c r="M337" s="175"/>
      <c r="N337" s="157" t="str">
        <f t="shared" si="30"/>
        <v>0</v>
      </c>
      <c r="O337" s="98" t="str">
        <f t="shared" si="31"/>
        <v/>
      </c>
      <c r="P337" s="80" t="str">
        <f t="shared" si="32"/>
        <v>KONINKLIJKE KPN NV PERP</v>
      </c>
      <c r="Q337" s="75">
        <v>3.1300000000000002E-8</v>
      </c>
      <c r="R337" s="175" t="str">
        <f>IF(OR('Inventaire M-1'!D90="Dispo/Liquidité Investie",'Inventaire M-1'!D90="Option/Future",'Inventaire M-1'!D90="TCN",'Inventaire M-1'!D90=""),"-",'Inventaire M-1'!A90)</f>
        <v>XS2688529135</v>
      </c>
      <c r="S337" s="175" t="str">
        <f>IF(OR('Inventaire M-1'!D90="Dispo/Liquidité Investie",'Inventaire M-1'!D90="Option/Future",'Inventaire M-1'!D90="TCN",'Inventaire M-1'!D90=""),"-",'Inventaire M-1'!B90)</f>
        <v>COTY INC 5.75 15/09/2028</v>
      </c>
      <c r="T337" s="175"/>
      <c r="U337" s="175" t="e">
        <f>IF(R337="-","",INDEX('Inventaire M-1'!$A$2:$AG$9334,MATCH(R337,'Inventaire M-1'!$A:$A,0)-1,MATCH("Cours EUR",'Inventaire M-1'!#REF!,0)))</f>
        <v>#REF!</v>
      </c>
      <c r="V337" s="175" t="str">
        <f>IF(R337="-","",IF(ISERROR(INDEX('Inventaire M'!$A$2:$AD$9319,MATCH(R337,'Inventaire M'!$A:$A,0)-1,MATCH("Cours EUR",'Inventaire M'!#REF!,0))),"Sell",INDEX('Inventaire M'!$A$2:$AD$9319,MATCH(R337,'Inventaire M'!$A:$A,0)-1,MATCH("Cours EUR",'Inventaire M'!#REF!,0))))</f>
        <v>Sell</v>
      </c>
      <c r="W337" s="175"/>
      <c r="X337" s="156" t="e">
        <f>IF(R337="-","",INDEX('Inventaire M-1'!$A$2:$AG$9334,MATCH(R337,'Inventaire M-1'!$A:$A,0)-1,MATCH("quantite",'Inventaire M-1'!#REF!,0)))</f>
        <v>#REF!</v>
      </c>
      <c r="Y337" s="156" t="str">
        <f>IF(S337="-","",IF(ISERROR(INDEX('Inventaire M'!$A$2:$AD$9319,MATCH(R337,'Inventaire M'!$A:$A,0)-1,MATCH("quantite",'Inventaire M'!#REF!,0))),"Sell",INDEX('Inventaire M'!$A$2:$AD$9319,MATCH(R337,'Inventaire M'!$A:$A,0)-1,MATCH("quantite",'Inventaire M'!#REF!,0))))</f>
        <v>Sell</v>
      </c>
      <c r="Z337" s="175"/>
      <c r="AA337" s="155" t="e">
        <f>IF(R337="-","",INDEX('Inventaire M-1'!$A$2:$AG$9334,MATCH(R337,'Inventaire M-1'!$A:$A,0)-1,MATCH("poids",'Inventaire M-1'!#REF!,0)))</f>
        <v>#REF!</v>
      </c>
      <c r="AB337" s="155" t="str">
        <f>IF(R337="-","",IF(ISERROR(INDEX('Inventaire M'!$A$2:$AD$9319,MATCH(R337,'Inventaire M'!$A:$A,0)-1,MATCH("poids",'Inventaire M'!#REF!,0))),"Sell",INDEX('Inventaire M'!$A$2:$AD$9319,MATCH(R337,'Inventaire M'!$A:$A,0)-1,MATCH("poids",'Inventaire M'!#REF!,0))))</f>
        <v>Sell</v>
      </c>
      <c r="AC337" s="175"/>
      <c r="AD337" s="157" t="str">
        <f t="shared" si="33"/>
        <v>0</v>
      </c>
      <c r="AE337" s="98" t="str">
        <f t="shared" si="34"/>
        <v/>
      </c>
      <c r="AF337" s="80" t="str">
        <f t="shared" si="35"/>
        <v>COTY INC 5.75 15/09/2028</v>
      </c>
    </row>
    <row r="338" spans="2:32" outlineLevel="1">
      <c r="B338" s="175" t="str">
        <f>IF(OR('Inventaire M'!D116="Dispo/Liquidité Investie",'Inventaire M'!D116="Option/Future",'Inventaire M'!D116="TCN",'Inventaire M'!D116=""),"-",'Inventaire M'!A116)</f>
        <v>XS2825597656</v>
      </c>
      <c r="C338" s="175" t="str">
        <f>IF(OR('Inventaire M'!D116="Dispo/Liquidité Investie",'Inventaire M'!D116="Option/Future",'Inventaire M'!D116="TCN",'Inventaire M'!D116=""),"-",'Inventaire M'!B116)</f>
        <v>OI EUROPEAN GROUP BV 5.25 01/06/2029</v>
      </c>
      <c r="D338" s="175"/>
      <c r="E338" s="175" t="e">
        <f>IF(B338="-","",INDEX('Inventaire M'!$A$2:$AW$9305,MATCH(B338,'Inventaire M'!$A:$A,0)-1,MATCH("Cours EUR",'Inventaire M'!#REF!,0)))</f>
        <v>#REF!</v>
      </c>
      <c r="F338" s="175" t="str">
        <f>IF(B338="-","",IF(ISERROR(INDEX('Inventaire M-1'!$A$2:$AZ$9320,MATCH(B338,'Inventaire M-1'!$A:$A,0)-1,MATCH("Cours EUR",'Inventaire M-1'!#REF!,0))),"Buy",INDEX('Inventaire M-1'!$A$2:$AZ$9320,MATCH(B338,'Inventaire M-1'!$A:$A,0)-1,MATCH("Cours EUR",'Inventaire M-1'!#REF!,0))))</f>
        <v>Buy</v>
      </c>
      <c r="G338" s="175"/>
      <c r="H338" s="156" t="e">
        <f>IF(B338="-","",INDEX('Inventaire M'!$A$2:$AW$9305,MATCH(B338,'Inventaire M'!$A:$A,0)-1,MATCH("quantite",'Inventaire M'!#REF!,0)))</f>
        <v>#REF!</v>
      </c>
      <c r="I338" s="156" t="str">
        <f>IF(C338="-","",IF(ISERROR(INDEX('Inventaire M-1'!$A$2:$AZ$9320,MATCH(B338,'Inventaire M-1'!$A:$A,0)-1,MATCH("quantite",'Inventaire M-1'!#REF!,0))),"Buy",INDEX('Inventaire M-1'!$A$2:$AZ$9320,MATCH(B338,'Inventaire M-1'!$A:$A,0)-1,MATCH("quantite",'Inventaire M-1'!#REF!,0))))</f>
        <v>Buy</v>
      </c>
      <c r="J338" s="175"/>
      <c r="K338" s="155" t="e">
        <f>IF(B338="-","",INDEX('Inventaire M'!$A$2:$AW$9305,MATCH(B338,'Inventaire M'!$A:$A,0)-1,MATCH("poids",'Inventaire M'!#REF!,0)))</f>
        <v>#REF!</v>
      </c>
      <c r="L338" s="155" t="str">
        <f>IF(B338="-","",IF(ISERROR(INDEX('Inventaire M-1'!$A$2:$AZ$9320,MATCH(B338,'Inventaire M-1'!$A:$A,0)-1,MATCH("poids",'Inventaire M-1'!#REF!,0))),"Buy",INDEX('Inventaire M-1'!$A$2:$AZ$9320,MATCH(B338,'Inventaire M-1'!$A:$A,0)-1,MATCH("poids",'Inventaire M-1'!#REF!,0))))</f>
        <v>Buy</v>
      </c>
      <c r="M338" s="175"/>
      <c r="N338" s="157" t="str">
        <f t="shared" si="30"/>
        <v>0</v>
      </c>
      <c r="O338" s="98" t="str">
        <f t="shared" si="31"/>
        <v/>
      </c>
      <c r="P338" s="80" t="str">
        <f t="shared" si="32"/>
        <v>OI EUROPEAN GROUP BV 5.25 01/06/2029</v>
      </c>
      <c r="Q338" s="75">
        <v>3.1400000000000003E-8</v>
      </c>
      <c r="R338" s="175" t="str">
        <f>IF(OR('Inventaire M-1'!D91="Dispo/Liquidité Investie",'Inventaire M-1'!D91="Option/Future",'Inventaire M-1'!D91="TCN",'Inventaire M-1'!D91=""),"-",'Inventaire M-1'!A91)</f>
        <v>XS2696090286</v>
      </c>
      <c r="S338" s="175" t="str">
        <f>IF(OR('Inventaire M-1'!D91="Dispo/Liquidité Investie",'Inventaire M-1'!D91="Option/Future",'Inventaire M-1'!D91="TCN",'Inventaire M-1'!D91=""),"-",'Inventaire M-1'!B91)</f>
        <v>PINNACLE BIDCO PLC 8.25 11/10/2028</v>
      </c>
      <c r="T338" s="175"/>
      <c r="U338" s="175" t="e">
        <f>IF(R338="-","",INDEX('Inventaire M-1'!$A$2:$AG$9334,MATCH(R338,'Inventaire M-1'!$A:$A,0)-1,MATCH("Cours EUR",'Inventaire M-1'!#REF!,0)))</f>
        <v>#REF!</v>
      </c>
      <c r="V338" s="175" t="str">
        <f>IF(R338="-","",IF(ISERROR(INDEX('Inventaire M'!$A$2:$AD$9319,MATCH(R338,'Inventaire M'!$A:$A,0)-1,MATCH("Cours EUR",'Inventaire M'!#REF!,0))),"Sell",INDEX('Inventaire M'!$A$2:$AD$9319,MATCH(R338,'Inventaire M'!$A:$A,0)-1,MATCH("Cours EUR",'Inventaire M'!#REF!,0))))</f>
        <v>Sell</v>
      </c>
      <c r="W338" s="175"/>
      <c r="X338" s="156" t="e">
        <f>IF(R338="-","",INDEX('Inventaire M-1'!$A$2:$AG$9334,MATCH(R338,'Inventaire M-1'!$A:$A,0)-1,MATCH("quantite",'Inventaire M-1'!#REF!,0)))</f>
        <v>#REF!</v>
      </c>
      <c r="Y338" s="156" t="str">
        <f>IF(S338="-","",IF(ISERROR(INDEX('Inventaire M'!$A$2:$AD$9319,MATCH(R338,'Inventaire M'!$A:$A,0)-1,MATCH("quantite",'Inventaire M'!#REF!,0))),"Sell",INDEX('Inventaire M'!$A$2:$AD$9319,MATCH(R338,'Inventaire M'!$A:$A,0)-1,MATCH("quantite",'Inventaire M'!#REF!,0))))</f>
        <v>Sell</v>
      </c>
      <c r="Z338" s="175"/>
      <c r="AA338" s="155" t="e">
        <f>IF(R338="-","",INDEX('Inventaire M-1'!$A$2:$AG$9334,MATCH(R338,'Inventaire M-1'!$A:$A,0)-1,MATCH("poids",'Inventaire M-1'!#REF!,0)))</f>
        <v>#REF!</v>
      </c>
      <c r="AB338" s="155" t="str">
        <f>IF(R338="-","",IF(ISERROR(INDEX('Inventaire M'!$A$2:$AD$9319,MATCH(R338,'Inventaire M'!$A:$A,0)-1,MATCH("poids",'Inventaire M'!#REF!,0))),"Sell",INDEX('Inventaire M'!$A$2:$AD$9319,MATCH(R338,'Inventaire M'!$A:$A,0)-1,MATCH("poids",'Inventaire M'!#REF!,0))))</f>
        <v>Sell</v>
      </c>
      <c r="AC338" s="175"/>
      <c r="AD338" s="157" t="str">
        <f t="shared" si="33"/>
        <v>0</v>
      </c>
      <c r="AE338" s="98" t="str">
        <f t="shared" si="34"/>
        <v/>
      </c>
      <c r="AF338" s="80" t="str">
        <f t="shared" si="35"/>
        <v>PINNACLE BIDCO PLC 8.25 11/10/2028</v>
      </c>
    </row>
    <row r="339" spans="2:32" outlineLevel="1">
      <c r="B339" s="175" t="str">
        <f>IF(OR('Inventaire M'!D117="Dispo/Liquidité Investie",'Inventaire M'!D117="Option/Future",'Inventaire M'!D117="TCN",'Inventaire M'!D117=""),"-",'Inventaire M'!A117)</f>
        <v>XS2826718087</v>
      </c>
      <c r="C339" s="175" t="str">
        <f>IF(OR('Inventaire M'!D117="Dispo/Liquidité Investie",'Inventaire M'!D117="Option/Future",'Inventaire M'!D117="TCN",'Inventaire M'!D117=""),"-",'Inventaire M'!B117)</f>
        <v>SAIPEM FINANCE INTERNATIONAL BV 4.875 30/05/2030</v>
      </c>
      <c r="D339" s="175"/>
      <c r="E339" s="175" t="e">
        <f>IF(B339="-","",INDEX('Inventaire M'!$A$2:$AW$9305,MATCH(B339,'Inventaire M'!$A:$A,0)-1,MATCH("Cours EUR",'Inventaire M'!#REF!,0)))</f>
        <v>#REF!</v>
      </c>
      <c r="F339" s="175" t="str">
        <f>IF(B339="-","",IF(ISERROR(INDEX('Inventaire M-1'!$A$2:$AZ$9320,MATCH(B339,'Inventaire M-1'!$A:$A,0)-1,MATCH("Cours EUR",'Inventaire M-1'!#REF!,0))),"Buy",INDEX('Inventaire M-1'!$A$2:$AZ$9320,MATCH(B339,'Inventaire M-1'!$A:$A,0)-1,MATCH("Cours EUR",'Inventaire M-1'!#REF!,0))))</f>
        <v>Buy</v>
      </c>
      <c r="G339" s="175"/>
      <c r="H339" s="156" t="e">
        <f>IF(B339="-","",INDEX('Inventaire M'!$A$2:$AW$9305,MATCH(B339,'Inventaire M'!$A:$A,0)-1,MATCH("quantite",'Inventaire M'!#REF!,0)))</f>
        <v>#REF!</v>
      </c>
      <c r="I339" s="156" t="str">
        <f>IF(C339="-","",IF(ISERROR(INDEX('Inventaire M-1'!$A$2:$AZ$9320,MATCH(B339,'Inventaire M-1'!$A:$A,0)-1,MATCH("quantite",'Inventaire M-1'!#REF!,0))),"Buy",INDEX('Inventaire M-1'!$A$2:$AZ$9320,MATCH(B339,'Inventaire M-1'!$A:$A,0)-1,MATCH("quantite",'Inventaire M-1'!#REF!,0))))</f>
        <v>Buy</v>
      </c>
      <c r="J339" s="175"/>
      <c r="K339" s="155" t="e">
        <f>IF(B339="-","",INDEX('Inventaire M'!$A$2:$AW$9305,MATCH(B339,'Inventaire M'!$A:$A,0)-1,MATCH("poids",'Inventaire M'!#REF!,0)))</f>
        <v>#REF!</v>
      </c>
      <c r="L339" s="155" t="str">
        <f>IF(B339="-","",IF(ISERROR(INDEX('Inventaire M-1'!$A$2:$AZ$9320,MATCH(B339,'Inventaire M-1'!$A:$A,0)-1,MATCH("poids",'Inventaire M-1'!#REF!,0))),"Buy",INDEX('Inventaire M-1'!$A$2:$AZ$9320,MATCH(B339,'Inventaire M-1'!$A:$A,0)-1,MATCH("poids",'Inventaire M-1'!#REF!,0))))</f>
        <v>Buy</v>
      </c>
      <c r="M339" s="175"/>
      <c r="N339" s="157" t="str">
        <f t="shared" si="30"/>
        <v>0</v>
      </c>
      <c r="O339" s="98" t="str">
        <f t="shared" si="31"/>
        <v/>
      </c>
      <c r="P339" s="80" t="str">
        <f t="shared" si="32"/>
        <v>SAIPEM FINANCE INTERNATIONAL BV 4.875 30/05/2030</v>
      </c>
      <c r="Q339" s="75">
        <v>3.1499999999999998E-8</v>
      </c>
      <c r="R339" s="175" t="str">
        <f>IF(OR('Inventaire M-1'!D92="Dispo/Liquidité Investie",'Inventaire M-1'!D92="Option/Future",'Inventaire M-1'!D92="TCN",'Inventaire M-1'!D92=""),"-",'Inventaire M-1'!A92)</f>
        <v>XS2711801287</v>
      </c>
      <c r="S339" s="175" t="str">
        <f>IF(OR('Inventaire M-1'!D92="Dispo/Liquidité Investie",'Inventaire M-1'!D92="Option/Future",'Inventaire M-1'!D92="TCN",'Inventaire M-1'!D92=""),"-",'Inventaire M-1'!B92)</f>
        <v>APA INFRASTRUCTURE LTD 09/11/2083</v>
      </c>
      <c r="T339" s="175"/>
      <c r="U339" s="175" t="e">
        <f>IF(R339="-","",INDEX('Inventaire M-1'!$A$2:$AG$9334,MATCH(R339,'Inventaire M-1'!$A:$A,0)-1,MATCH("Cours EUR",'Inventaire M-1'!#REF!,0)))</f>
        <v>#REF!</v>
      </c>
      <c r="V339" s="175" t="str">
        <f>IF(R339="-","",IF(ISERROR(INDEX('Inventaire M'!$A$2:$AD$9319,MATCH(R339,'Inventaire M'!$A:$A,0)-1,MATCH("Cours EUR",'Inventaire M'!#REF!,0))),"Sell",INDEX('Inventaire M'!$A$2:$AD$9319,MATCH(R339,'Inventaire M'!$A:$A,0)-1,MATCH("Cours EUR",'Inventaire M'!#REF!,0))))</f>
        <v>Sell</v>
      </c>
      <c r="W339" s="175"/>
      <c r="X339" s="156" t="e">
        <f>IF(R339="-","",INDEX('Inventaire M-1'!$A$2:$AG$9334,MATCH(R339,'Inventaire M-1'!$A:$A,0)-1,MATCH("quantite",'Inventaire M-1'!#REF!,0)))</f>
        <v>#REF!</v>
      </c>
      <c r="Y339" s="156" t="str">
        <f>IF(S339="-","",IF(ISERROR(INDEX('Inventaire M'!$A$2:$AD$9319,MATCH(R339,'Inventaire M'!$A:$A,0)-1,MATCH("quantite",'Inventaire M'!#REF!,0))),"Sell",INDEX('Inventaire M'!$A$2:$AD$9319,MATCH(R339,'Inventaire M'!$A:$A,0)-1,MATCH("quantite",'Inventaire M'!#REF!,0))))</f>
        <v>Sell</v>
      </c>
      <c r="Z339" s="175"/>
      <c r="AA339" s="155" t="e">
        <f>IF(R339="-","",INDEX('Inventaire M-1'!$A$2:$AG$9334,MATCH(R339,'Inventaire M-1'!$A:$A,0)-1,MATCH("poids",'Inventaire M-1'!#REF!,0)))</f>
        <v>#REF!</v>
      </c>
      <c r="AB339" s="155" t="str">
        <f>IF(R339="-","",IF(ISERROR(INDEX('Inventaire M'!$A$2:$AD$9319,MATCH(R339,'Inventaire M'!$A:$A,0)-1,MATCH("poids",'Inventaire M'!#REF!,0))),"Sell",INDEX('Inventaire M'!$A$2:$AD$9319,MATCH(R339,'Inventaire M'!$A:$A,0)-1,MATCH("poids",'Inventaire M'!#REF!,0))))</f>
        <v>Sell</v>
      </c>
      <c r="AC339" s="175"/>
      <c r="AD339" s="157" t="str">
        <f t="shared" si="33"/>
        <v>0</v>
      </c>
      <c r="AE339" s="98" t="str">
        <f t="shared" si="34"/>
        <v/>
      </c>
      <c r="AF339" s="80" t="str">
        <f t="shared" si="35"/>
        <v>APA INFRASTRUCTURE LTD 09/11/2083</v>
      </c>
    </row>
    <row r="340" spans="2:32" outlineLevel="1">
      <c r="B340" s="175" t="str">
        <f>IF(OR('Inventaire M'!D118="Dispo/Liquidité Investie",'Inventaire M'!D118="Option/Future",'Inventaire M'!D118="TCN",'Inventaire M'!D118=""),"-",'Inventaire M'!A118)</f>
        <v>XS2834242435</v>
      </c>
      <c r="C340" s="175" t="str">
        <f>IF(OR('Inventaire M'!D118="Dispo/Liquidité Investie",'Inventaire M'!D118="Option/Future",'Inventaire M'!D118="TCN",'Inventaire M'!D118=""),"-",'Inventaire M'!B118)</f>
        <v>PLT VII FINANCE SARL 6 15/06/2031</v>
      </c>
      <c r="D340" s="175"/>
      <c r="E340" s="175" t="e">
        <f>IF(B340="-","",INDEX('Inventaire M'!$A$2:$AW$9305,MATCH(B340,'Inventaire M'!$A:$A,0)-1,MATCH("Cours EUR",'Inventaire M'!#REF!,0)))</f>
        <v>#REF!</v>
      </c>
      <c r="F340" s="175" t="str">
        <f>IF(B340="-","",IF(ISERROR(INDEX('Inventaire M-1'!$A$2:$AZ$9320,MATCH(B340,'Inventaire M-1'!$A:$A,0)-1,MATCH("Cours EUR",'Inventaire M-1'!#REF!,0))),"Buy",INDEX('Inventaire M-1'!$A$2:$AZ$9320,MATCH(B340,'Inventaire M-1'!$A:$A,0)-1,MATCH("Cours EUR",'Inventaire M-1'!#REF!,0))))</f>
        <v>Buy</v>
      </c>
      <c r="G340" s="175"/>
      <c r="H340" s="156" t="e">
        <f>IF(B340="-","",INDEX('Inventaire M'!$A$2:$AW$9305,MATCH(B340,'Inventaire M'!$A:$A,0)-1,MATCH("quantite",'Inventaire M'!#REF!,0)))</f>
        <v>#REF!</v>
      </c>
      <c r="I340" s="156" t="str">
        <f>IF(C340="-","",IF(ISERROR(INDEX('Inventaire M-1'!$A$2:$AZ$9320,MATCH(B340,'Inventaire M-1'!$A:$A,0)-1,MATCH("quantite",'Inventaire M-1'!#REF!,0))),"Buy",INDEX('Inventaire M-1'!$A$2:$AZ$9320,MATCH(B340,'Inventaire M-1'!$A:$A,0)-1,MATCH("quantite",'Inventaire M-1'!#REF!,0))))</f>
        <v>Buy</v>
      </c>
      <c r="J340" s="175"/>
      <c r="K340" s="155" t="e">
        <f>IF(B340="-","",INDEX('Inventaire M'!$A$2:$AW$9305,MATCH(B340,'Inventaire M'!$A:$A,0)-1,MATCH("poids",'Inventaire M'!#REF!,0)))</f>
        <v>#REF!</v>
      </c>
      <c r="L340" s="155" t="str">
        <f>IF(B340="-","",IF(ISERROR(INDEX('Inventaire M-1'!$A$2:$AZ$9320,MATCH(B340,'Inventaire M-1'!$A:$A,0)-1,MATCH("poids",'Inventaire M-1'!#REF!,0))),"Buy",INDEX('Inventaire M-1'!$A$2:$AZ$9320,MATCH(B340,'Inventaire M-1'!$A:$A,0)-1,MATCH("poids",'Inventaire M-1'!#REF!,0))))</f>
        <v>Buy</v>
      </c>
      <c r="M340" s="175"/>
      <c r="N340" s="157" t="str">
        <f t="shared" si="30"/>
        <v>0</v>
      </c>
      <c r="O340" s="98" t="str">
        <f t="shared" si="31"/>
        <v/>
      </c>
      <c r="P340" s="80" t="str">
        <f t="shared" si="32"/>
        <v>PLT VII FINANCE SARL 6 15/06/2031</v>
      </c>
      <c r="Q340" s="75">
        <v>3.1599999999999998E-8</v>
      </c>
      <c r="R340" s="175" t="str">
        <f>IF(OR('Inventaire M-1'!D93="Dispo/Liquidité Investie",'Inventaire M-1'!D93="Option/Future",'Inventaire M-1'!D93="TCN",'Inventaire M-1'!D93=""),"-",'Inventaire M-1'!A93)</f>
        <v>XS2719998952</v>
      </c>
      <c r="S340" s="175" t="str">
        <f>IF(OR('Inventaire M-1'!D93="Dispo/Liquidité Investie",'Inventaire M-1'!D93="Option/Future",'Inventaire M-1'!D93="TCN",'Inventaire M-1'!D93=""),"-",'Inventaire M-1'!B93)</f>
        <v>EG GLOBAL FINANCE PLC 11 30/11/2028</v>
      </c>
      <c r="T340" s="175"/>
      <c r="U340" s="175" t="e">
        <f>IF(R340="-","",INDEX('Inventaire M-1'!$A$2:$AG$9334,MATCH(R340,'Inventaire M-1'!$A:$A,0)-1,MATCH("Cours EUR",'Inventaire M-1'!#REF!,0)))</f>
        <v>#REF!</v>
      </c>
      <c r="V340" s="175" t="str">
        <f>IF(R340="-","",IF(ISERROR(INDEX('Inventaire M'!$A$2:$AD$9319,MATCH(R340,'Inventaire M'!$A:$A,0)-1,MATCH("Cours EUR",'Inventaire M'!#REF!,0))),"Sell",INDEX('Inventaire M'!$A$2:$AD$9319,MATCH(R340,'Inventaire M'!$A:$A,0)-1,MATCH("Cours EUR",'Inventaire M'!#REF!,0))))</f>
        <v>Sell</v>
      </c>
      <c r="W340" s="175"/>
      <c r="X340" s="156" t="e">
        <f>IF(R340="-","",INDEX('Inventaire M-1'!$A$2:$AG$9334,MATCH(R340,'Inventaire M-1'!$A:$A,0)-1,MATCH("quantite",'Inventaire M-1'!#REF!,0)))</f>
        <v>#REF!</v>
      </c>
      <c r="Y340" s="156" t="str">
        <f>IF(S340="-","",IF(ISERROR(INDEX('Inventaire M'!$A$2:$AD$9319,MATCH(R340,'Inventaire M'!$A:$A,0)-1,MATCH("quantite",'Inventaire M'!#REF!,0))),"Sell",INDEX('Inventaire M'!$A$2:$AD$9319,MATCH(R340,'Inventaire M'!$A:$A,0)-1,MATCH("quantite",'Inventaire M'!#REF!,0))))</f>
        <v>Sell</v>
      </c>
      <c r="Z340" s="175"/>
      <c r="AA340" s="155" t="e">
        <f>IF(R340="-","",INDEX('Inventaire M-1'!$A$2:$AG$9334,MATCH(R340,'Inventaire M-1'!$A:$A,0)-1,MATCH("poids",'Inventaire M-1'!#REF!,0)))</f>
        <v>#REF!</v>
      </c>
      <c r="AB340" s="155" t="str">
        <f>IF(R340="-","",IF(ISERROR(INDEX('Inventaire M'!$A$2:$AD$9319,MATCH(R340,'Inventaire M'!$A:$A,0)-1,MATCH("poids",'Inventaire M'!#REF!,0))),"Sell",INDEX('Inventaire M'!$A$2:$AD$9319,MATCH(R340,'Inventaire M'!$A:$A,0)-1,MATCH("poids",'Inventaire M'!#REF!,0))))</f>
        <v>Sell</v>
      </c>
      <c r="AC340" s="175"/>
      <c r="AD340" s="157" t="str">
        <f t="shared" si="33"/>
        <v>0</v>
      </c>
      <c r="AE340" s="98" t="str">
        <f t="shared" si="34"/>
        <v/>
      </c>
      <c r="AF340" s="80" t="str">
        <f t="shared" si="35"/>
        <v>EG GLOBAL FINANCE PLC 11 30/11/2028</v>
      </c>
    </row>
    <row r="341" spans="2:32" outlineLevel="1">
      <c r="B341" s="175" t="str">
        <f>IF(OR('Inventaire M'!D119="Dispo/Liquidité Investie",'Inventaire M'!D119="Option/Future",'Inventaire M'!D119="TCN",'Inventaire M'!D119=""),"-",'Inventaire M'!A119)</f>
        <v>XS2844404710</v>
      </c>
      <c r="C341" s="175" t="str">
        <f>IF(OR('Inventaire M'!D119="Dispo/Liquidité Investie",'Inventaire M'!D119="Option/Future",'Inventaire M'!D119="TCN",'Inventaire M'!D119=""),"-",'Inventaire M'!B119)</f>
        <v>IPD 3 BV 15/06/2031</v>
      </c>
      <c r="D341" s="175"/>
      <c r="E341" s="175" t="e">
        <f>IF(B341="-","",INDEX('Inventaire M'!$A$2:$AW$9305,MATCH(B341,'Inventaire M'!$A:$A,0)-1,MATCH("Cours EUR",'Inventaire M'!#REF!,0)))</f>
        <v>#REF!</v>
      </c>
      <c r="F341" s="175" t="str">
        <f>IF(B341="-","",IF(ISERROR(INDEX('Inventaire M-1'!$A$2:$AZ$9320,MATCH(B341,'Inventaire M-1'!$A:$A,0)-1,MATCH("Cours EUR",'Inventaire M-1'!#REF!,0))),"Buy",INDEX('Inventaire M-1'!$A$2:$AZ$9320,MATCH(B341,'Inventaire M-1'!$A:$A,0)-1,MATCH("Cours EUR",'Inventaire M-1'!#REF!,0))))</f>
        <v>Buy</v>
      </c>
      <c r="G341" s="175"/>
      <c r="H341" s="156" t="e">
        <f>IF(B341="-","",INDEX('Inventaire M'!$A$2:$AW$9305,MATCH(B341,'Inventaire M'!$A:$A,0)-1,MATCH("quantite",'Inventaire M'!#REF!,0)))</f>
        <v>#REF!</v>
      </c>
      <c r="I341" s="156" t="str">
        <f>IF(C341="-","",IF(ISERROR(INDEX('Inventaire M-1'!$A$2:$AZ$9320,MATCH(B341,'Inventaire M-1'!$A:$A,0)-1,MATCH("quantite",'Inventaire M-1'!#REF!,0))),"Buy",INDEX('Inventaire M-1'!$A$2:$AZ$9320,MATCH(B341,'Inventaire M-1'!$A:$A,0)-1,MATCH("quantite",'Inventaire M-1'!#REF!,0))))</f>
        <v>Buy</v>
      </c>
      <c r="J341" s="175"/>
      <c r="K341" s="155" t="e">
        <f>IF(B341="-","",INDEX('Inventaire M'!$A$2:$AW$9305,MATCH(B341,'Inventaire M'!$A:$A,0)-1,MATCH("poids",'Inventaire M'!#REF!,0)))</f>
        <v>#REF!</v>
      </c>
      <c r="L341" s="155" t="str">
        <f>IF(B341="-","",IF(ISERROR(INDEX('Inventaire M-1'!$A$2:$AZ$9320,MATCH(B341,'Inventaire M-1'!$A:$A,0)-1,MATCH("poids",'Inventaire M-1'!#REF!,0))),"Buy",INDEX('Inventaire M-1'!$A$2:$AZ$9320,MATCH(B341,'Inventaire M-1'!$A:$A,0)-1,MATCH("poids",'Inventaire M-1'!#REF!,0))))</f>
        <v>Buy</v>
      </c>
      <c r="M341" s="175"/>
      <c r="N341" s="157" t="str">
        <f t="shared" si="30"/>
        <v>0</v>
      </c>
      <c r="O341" s="98" t="str">
        <f t="shared" si="31"/>
        <v/>
      </c>
      <c r="P341" s="80" t="str">
        <f t="shared" si="32"/>
        <v>IPD 3 BV 15/06/2031</v>
      </c>
      <c r="Q341" s="75">
        <v>3.1699999999999999E-8</v>
      </c>
      <c r="R341" s="175" t="str">
        <f>IF(OR('Inventaire M-1'!D94="Dispo/Liquidité Investie",'Inventaire M-1'!D94="Option/Future",'Inventaire M-1'!D94="TCN",'Inventaire M-1'!D94=""),"-",'Inventaire M-1'!A94)</f>
        <v>XS2732357525</v>
      </c>
      <c r="S341" s="175" t="str">
        <f>IF(OR('Inventaire M-1'!D94="Dispo/Liquidité Investie",'Inventaire M-1'!D94="Option/Future",'Inventaire M-1'!D94="TCN",'Inventaire M-1'!D94=""),"-",'Inventaire M-1'!B94)</f>
        <v>LOXAM SAS 6.375 31/05/2029</v>
      </c>
      <c r="T341" s="175"/>
      <c r="U341" s="175" t="e">
        <f>IF(R341="-","",INDEX('Inventaire M-1'!$A$2:$AG$9334,MATCH(R341,'Inventaire M-1'!$A:$A,0)-1,MATCH("Cours EUR",'Inventaire M-1'!#REF!,0)))</f>
        <v>#REF!</v>
      </c>
      <c r="V341" s="175" t="str">
        <f>IF(R341="-","",IF(ISERROR(INDEX('Inventaire M'!$A$2:$AD$9319,MATCH(R341,'Inventaire M'!$A:$A,0)-1,MATCH("Cours EUR",'Inventaire M'!#REF!,0))),"Sell",INDEX('Inventaire M'!$A$2:$AD$9319,MATCH(R341,'Inventaire M'!$A:$A,0)-1,MATCH("Cours EUR",'Inventaire M'!#REF!,0))))</f>
        <v>Sell</v>
      </c>
      <c r="W341" s="175"/>
      <c r="X341" s="156" t="e">
        <f>IF(R341="-","",INDEX('Inventaire M-1'!$A$2:$AG$9334,MATCH(R341,'Inventaire M-1'!$A:$A,0)-1,MATCH("quantite",'Inventaire M-1'!#REF!,0)))</f>
        <v>#REF!</v>
      </c>
      <c r="Y341" s="156" t="str">
        <f>IF(S341="-","",IF(ISERROR(INDEX('Inventaire M'!$A$2:$AD$9319,MATCH(R341,'Inventaire M'!$A:$A,0)-1,MATCH("quantite",'Inventaire M'!#REF!,0))),"Sell",INDEX('Inventaire M'!$A$2:$AD$9319,MATCH(R341,'Inventaire M'!$A:$A,0)-1,MATCH("quantite",'Inventaire M'!#REF!,0))))</f>
        <v>Sell</v>
      </c>
      <c r="Z341" s="175"/>
      <c r="AA341" s="155" t="e">
        <f>IF(R341="-","",INDEX('Inventaire M-1'!$A$2:$AG$9334,MATCH(R341,'Inventaire M-1'!$A:$A,0)-1,MATCH("poids",'Inventaire M-1'!#REF!,0)))</f>
        <v>#REF!</v>
      </c>
      <c r="AB341" s="155" t="str">
        <f>IF(R341="-","",IF(ISERROR(INDEX('Inventaire M'!$A$2:$AD$9319,MATCH(R341,'Inventaire M'!$A:$A,0)-1,MATCH("poids",'Inventaire M'!#REF!,0))),"Sell",INDEX('Inventaire M'!$A$2:$AD$9319,MATCH(R341,'Inventaire M'!$A:$A,0)-1,MATCH("poids",'Inventaire M'!#REF!,0))))</f>
        <v>Sell</v>
      </c>
      <c r="AC341" s="175"/>
      <c r="AD341" s="157" t="str">
        <f t="shared" si="33"/>
        <v>0</v>
      </c>
      <c r="AE341" s="98" t="str">
        <f t="shared" si="34"/>
        <v/>
      </c>
      <c r="AF341" s="80" t="str">
        <f t="shared" si="35"/>
        <v>LOXAM SAS 6.375 31/05/2029</v>
      </c>
    </row>
    <row r="342" spans="2:32" outlineLevel="1">
      <c r="B342" s="175" t="str">
        <f>IF(OR('Inventaire M'!D120="Dispo/Liquidité Investie",'Inventaire M'!D120="Option/Future",'Inventaire M'!D120="TCN",'Inventaire M'!D120=""),"-",'Inventaire M'!A120)</f>
        <v>XS2845183495</v>
      </c>
      <c r="C342" s="175" t="str">
        <f>IF(OR('Inventaire M'!D120="Dispo/Liquidité Investie",'Inventaire M'!D120="Option/Future",'Inventaire M'!D120="TCN",'Inventaire M'!D120=""),"-",'Inventaire M'!B120)</f>
        <v>TVL FINANCE PLC 30/06/2030</v>
      </c>
      <c r="D342" s="175"/>
      <c r="E342" s="175" t="e">
        <f>IF(B342="-","",INDEX('Inventaire M'!$A$2:$AW$9305,MATCH(B342,'Inventaire M'!$A:$A,0)-1,MATCH("Cours EUR",'Inventaire M'!#REF!,0)))</f>
        <v>#REF!</v>
      </c>
      <c r="F342" s="175" t="str">
        <f>IF(B342="-","",IF(ISERROR(INDEX('Inventaire M-1'!$A$2:$AZ$9320,MATCH(B342,'Inventaire M-1'!$A:$A,0)-1,MATCH("Cours EUR",'Inventaire M-1'!#REF!,0))),"Buy",INDEX('Inventaire M-1'!$A$2:$AZ$9320,MATCH(B342,'Inventaire M-1'!$A:$A,0)-1,MATCH("Cours EUR",'Inventaire M-1'!#REF!,0))))</f>
        <v>Buy</v>
      </c>
      <c r="G342" s="175"/>
      <c r="H342" s="156" t="e">
        <f>IF(B342="-","",INDEX('Inventaire M'!$A$2:$AW$9305,MATCH(B342,'Inventaire M'!$A:$A,0)-1,MATCH("quantite",'Inventaire M'!#REF!,0)))</f>
        <v>#REF!</v>
      </c>
      <c r="I342" s="156" t="str">
        <f>IF(C342="-","",IF(ISERROR(INDEX('Inventaire M-1'!$A$2:$AZ$9320,MATCH(B342,'Inventaire M-1'!$A:$A,0)-1,MATCH("quantite",'Inventaire M-1'!#REF!,0))),"Buy",INDEX('Inventaire M-1'!$A$2:$AZ$9320,MATCH(B342,'Inventaire M-1'!$A:$A,0)-1,MATCH("quantite",'Inventaire M-1'!#REF!,0))))</f>
        <v>Buy</v>
      </c>
      <c r="J342" s="175"/>
      <c r="K342" s="155" t="e">
        <f>IF(B342="-","",INDEX('Inventaire M'!$A$2:$AW$9305,MATCH(B342,'Inventaire M'!$A:$A,0)-1,MATCH("poids",'Inventaire M'!#REF!,0)))</f>
        <v>#REF!</v>
      </c>
      <c r="L342" s="155" t="str">
        <f>IF(B342="-","",IF(ISERROR(INDEX('Inventaire M-1'!$A$2:$AZ$9320,MATCH(B342,'Inventaire M-1'!$A:$A,0)-1,MATCH("poids",'Inventaire M-1'!#REF!,0))),"Buy",INDEX('Inventaire M-1'!$A$2:$AZ$9320,MATCH(B342,'Inventaire M-1'!$A:$A,0)-1,MATCH("poids",'Inventaire M-1'!#REF!,0))))</f>
        <v>Buy</v>
      </c>
      <c r="M342" s="175"/>
      <c r="N342" s="157" t="str">
        <f t="shared" si="30"/>
        <v>0</v>
      </c>
      <c r="O342" s="98" t="str">
        <f t="shared" si="31"/>
        <v/>
      </c>
      <c r="P342" s="80" t="str">
        <f t="shared" si="32"/>
        <v>TVL FINANCE PLC 30/06/2030</v>
      </c>
      <c r="Q342" s="75">
        <v>3.18E-8</v>
      </c>
      <c r="R342" s="175" t="str">
        <f>IF(OR('Inventaire M-1'!D95="Dispo/Liquidité Investie",'Inventaire M-1'!D95="Option/Future",'Inventaire M-1'!D95="TCN",'Inventaire M-1'!D95=""),"-",'Inventaire M-1'!A95)</f>
        <v>XS2734938249</v>
      </c>
      <c r="S342" s="175" t="str">
        <f>IF(OR('Inventaire M-1'!D95="Dispo/Liquidité Investie",'Inventaire M-1'!D95="Option/Future",'Inventaire M-1'!D95="TCN",'Inventaire M-1'!D95=""),"-",'Inventaire M-1'!B95)</f>
        <v>EPHIOS SUBCO 3 SARL 7.875 31/01/2031</v>
      </c>
      <c r="T342" s="175"/>
      <c r="U342" s="175" t="e">
        <f>IF(R342="-","",INDEX('Inventaire M-1'!$A$2:$AG$9334,MATCH(R342,'Inventaire M-1'!$A:$A,0)-1,MATCH("Cours EUR",'Inventaire M-1'!#REF!,0)))</f>
        <v>#REF!</v>
      </c>
      <c r="V342" s="175" t="str">
        <f>IF(R342="-","",IF(ISERROR(INDEX('Inventaire M'!$A$2:$AD$9319,MATCH(R342,'Inventaire M'!$A:$A,0)-1,MATCH("Cours EUR",'Inventaire M'!#REF!,0))),"Sell",INDEX('Inventaire M'!$A$2:$AD$9319,MATCH(R342,'Inventaire M'!$A:$A,0)-1,MATCH("Cours EUR",'Inventaire M'!#REF!,0))))</f>
        <v>Sell</v>
      </c>
      <c r="W342" s="175"/>
      <c r="X342" s="156" t="e">
        <f>IF(R342="-","",INDEX('Inventaire M-1'!$A$2:$AG$9334,MATCH(R342,'Inventaire M-1'!$A:$A,0)-1,MATCH("quantite",'Inventaire M-1'!#REF!,0)))</f>
        <v>#REF!</v>
      </c>
      <c r="Y342" s="156" t="str">
        <f>IF(S342="-","",IF(ISERROR(INDEX('Inventaire M'!$A$2:$AD$9319,MATCH(R342,'Inventaire M'!$A:$A,0)-1,MATCH("quantite",'Inventaire M'!#REF!,0))),"Sell",INDEX('Inventaire M'!$A$2:$AD$9319,MATCH(R342,'Inventaire M'!$A:$A,0)-1,MATCH("quantite",'Inventaire M'!#REF!,0))))</f>
        <v>Sell</v>
      </c>
      <c r="Z342" s="175"/>
      <c r="AA342" s="155" t="e">
        <f>IF(R342="-","",INDEX('Inventaire M-1'!$A$2:$AG$9334,MATCH(R342,'Inventaire M-1'!$A:$A,0)-1,MATCH("poids",'Inventaire M-1'!#REF!,0)))</f>
        <v>#REF!</v>
      </c>
      <c r="AB342" s="155" t="str">
        <f>IF(R342="-","",IF(ISERROR(INDEX('Inventaire M'!$A$2:$AD$9319,MATCH(R342,'Inventaire M'!$A:$A,0)-1,MATCH("poids",'Inventaire M'!#REF!,0))),"Sell",INDEX('Inventaire M'!$A$2:$AD$9319,MATCH(R342,'Inventaire M'!$A:$A,0)-1,MATCH("poids",'Inventaire M'!#REF!,0))))</f>
        <v>Sell</v>
      </c>
      <c r="AC342" s="175"/>
      <c r="AD342" s="157" t="str">
        <f t="shared" si="33"/>
        <v>0</v>
      </c>
      <c r="AE342" s="98" t="str">
        <f t="shared" si="34"/>
        <v/>
      </c>
      <c r="AF342" s="80" t="str">
        <f t="shared" si="35"/>
        <v>EPHIOS SUBCO 3 SARL 7.875 31/01/2031</v>
      </c>
    </row>
    <row r="343" spans="2:32" outlineLevel="1">
      <c r="B343" s="175" t="str">
        <f>IF(OR('Inventaire M'!D121="Dispo/Liquidité Investie",'Inventaire M'!D121="Option/Future",'Inventaire M'!D121="TCN",'Inventaire M'!D121=""),"-",'Inventaire M'!A121)</f>
        <v>XS2852970016</v>
      </c>
      <c r="C343" s="175" t="str">
        <f>IF(OR('Inventaire M'!D121="Dispo/Liquidité Investie",'Inventaire M'!D121="Option/Future",'Inventaire M'!D121="TCN",'Inventaire M'!D121=""),"-",'Inventaire M'!B121)</f>
        <v>PICARD GROUPE SAS 6.375 01/07/2029</v>
      </c>
      <c r="D343" s="175"/>
      <c r="E343" s="175" t="e">
        <f>IF(B343="-","",INDEX('Inventaire M'!$A$2:$AW$9305,MATCH(B343,'Inventaire M'!$A:$A,0)-1,MATCH("Cours EUR",'Inventaire M'!#REF!,0)))</f>
        <v>#REF!</v>
      </c>
      <c r="F343" s="175" t="str">
        <f>IF(B343="-","",IF(ISERROR(INDEX('Inventaire M-1'!$A$2:$AZ$9320,MATCH(B343,'Inventaire M-1'!$A:$A,0)-1,MATCH("Cours EUR",'Inventaire M-1'!#REF!,0))),"Buy",INDEX('Inventaire M-1'!$A$2:$AZ$9320,MATCH(B343,'Inventaire M-1'!$A:$A,0)-1,MATCH("Cours EUR",'Inventaire M-1'!#REF!,0))))</f>
        <v>Buy</v>
      </c>
      <c r="G343" s="175"/>
      <c r="H343" s="156" t="e">
        <f>IF(B343="-","",INDEX('Inventaire M'!$A$2:$AW$9305,MATCH(B343,'Inventaire M'!$A:$A,0)-1,MATCH("quantite",'Inventaire M'!#REF!,0)))</f>
        <v>#REF!</v>
      </c>
      <c r="I343" s="156" t="str">
        <f>IF(C343="-","",IF(ISERROR(INDEX('Inventaire M-1'!$A$2:$AZ$9320,MATCH(B343,'Inventaire M-1'!$A:$A,0)-1,MATCH("quantite",'Inventaire M-1'!#REF!,0))),"Buy",INDEX('Inventaire M-1'!$A$2:$AZ$9320,MATCH(B343,'Inventaire M-1'!$A:$A,0)-1,MATCH("quantite",'Inventaire M-1'!#REF!,0))))</f>
        <v>Buy</v>
      </c>
      <c r="J343" s="175"/>
      <c r="K343" s="155" t="e">
        <f>IF(B343="-","",INDEX('Inventaire M'!$A$2:$AW$9305,MATCH(B343,'Inventaire M'!$A:$A,0)-1,MATCH("poids",'Inventaire M'!#REF!,0)))</f>
        <v>#REF!</v>
      </c>
      <c r="L343" s="155" t="str">
        <f>IF(B343="-","",IF(ISERROR(INDEX('Inventaire M-1'!$A$2:$AZ$9320,MATCH(B343,'Inventaire M-1'!$A:$A,0)-1,MATCH("poids",'Inventaire M-1'!#REF!,0))),"Buy",INDEX('Inventaire M-1'!$A$2:$AZ$9320,MATCH(B343,'Inventaire M-1'!$A:$A,0)-1,MATCH("poids",'Inventaire M-1'!#REF!,0))))</f>
        <v>Buy</v>
      </c>
      <c r="M343" s="175"/>
      <c r="N343" s="157" t="str">
        <f t="shared" si="30"/>
        <v>0</v>
      </c>
      <c r="O343" s="98" t="str">
        <f t="shared" si="31"/>
        <v/>
      </c>
      <c r="P343" s="80" t="str">
        <f t="shared" si="32"/>
        <v>PICARD GROUPE SAS 6.375 01/07/2029</v>
      </c>
      <c r="Q343" s="75">
        <v>3.1900000000000001E-8</v>
      </c>
      <c r="R343" s="175" t="str">
        <f>IF(OR('Inventaire M-1'!D96="Dispo/Liquidité Investie",'Inventaire M-1'!D96="Option/Future",'Inventaire M-1'!D96="TCN",'Inventaire M-1'!D96=""),"-",'Inventaire M-1'!A96)</f>
        <v>XS2755535577</v>
      </c>
      <c r="S343" s="175" t="str">
        <f>IF(OR('Inventaire M-1'!D96="Dispo/Liquidité Investie",'Inventaire M-1'!D96="Option/Future",'Inventaire M-1'!D96="TCN",'Inventaire M-1'!D96=""),"-",'Inventaire M-1'!B96)</f>
        <v>TELEFONICA EUROPE BV PERP</v>
      </c>
      <c r="T343" s="175"/>
      <c r="U343" s="175" t="e">
        <f>IF(R343="-","",INDEX('Inventaire M-1'!$A$2:$AG$9334,MATCH(R343,'Inventaire M-1'!$A:$A,0)-1,MATCH("Cours EUR",'Inventaire M-1'!#REF!,0)))</f>
        <v>#REF!</v>
      </c>
      <c r="V343" s="175" t="str">
        <f>IF(R343="-","",IF(ISERROR(INDEX('Inventaire M'!$A$2:$AD$9319,MATCH(R343,'Inventaire M'!$A:$A,0)-1,MATCH("Cours EUR",'Inventaire M'!#REF!,0))),"Sell",INDEX('Inventaire M'!$A$2:$AD$9319,MATCH(R343,'Inventaire M'!$A:$A,0)-1,MATCH("Cours EUR",'Inventaire M'!#REF!,0))))</f>
        <v>Sell</v>
      </c>
      <c r="W343" s="175"/>
      <c r="X343" s="156" t="e">
        <f>IF(R343="-","",INDEX('Inventaire M-1'!$A$2:$AG$9334,MATCH(R343,'Inventaire M-1'!$A:$A,0)-1,MATCH("quantite",'Inventaire M-1'!#REF!,0)))</f>
        <v>#REF!</v>
      </c>
      <c r="Y343" s="156" t="str">
        <f>IF(S343="-","",IF(ISERROR(INDEX('Inventaire M'!$A$2:$AD$9319,MATCH(R343,'Inventaire M'!$A:$A,0)-1,MATCH("quantite",'Inventaire M'!#REF!,0))),"Sell",INDEX('Inventaire M'!$A$2:$AD$9319,MATCH(R343,'Inventaire M'!$A:$A,0)-1,MATCH("quantite",'Inventaire M'!#REF!,0))))</f>
        <v>Sell</v>
      </c>
      <c r="Z343" s="175"/>
      <c r="AA343" s="155" t="e">
        <f>IF(R343="-","",INDEX('Inventaire M-1'!$A$2:$AG$9334,MATCH(R343,'Inventaire M-1'!$A:$A,0)-1,MATCH("poids",'Inventaire M-1'!#REF!,0)))</f>
        <v>#REF!</v>
      </c>
      <c r="AB343" s="155" t="str">
        <f>IF(R343="-","",IF(ISERROR(INDEX('Inventaire M'!$A$2:$AD$9319,MATCH(R343,'Inventaire M'!$A:$A,0)-1,MATCH("poids",'Inventaire M'!#REF!,0))),"Sell",INDEX('Inventaire M'!$A$2:$AD$9319,MATCH(R343,'Inventaire M'!$A:$A,0)-1,MATCH("poids",'Inventaire M'!#REF!,0))))</f>
        <v>Sell</v>
      </c>
      <c r="AC343" s="175"/>
      <c r="AD343" s="157" t="str">
        <f t="shared" si="33"/>
        <v>0</v>
      </c>
      <c r="AE343" s="98" t="str">
        <f t="shared" si="34"/>
        <v/>
      </c>
      <c r="AF343" s="80" t="str">
        <f t="shared" si="35"/>
        <v>TELEFONICA EUROPE BV PERP</v>
      </c>
    </row>
    <row r="344" spans="2:32" outlineLevel="1">
      <c r="B344" s="175" t="str">
        <f>IF(OR('Inventaire M'!D122="Dispo/Liquidité Investie",'Inventaire M'!D122="Option/Future",'Inventaire M'!D122="TCN",'Inventaire M'!D122=""),"-",'Inventaire M'!A122)</f>
        <v>XS2854277626</v>
      </c>
      <c r="C344" s="175" t="str">
        <f>IF(OR('Inventaire M'!D122="Dispo/Liquidité Investie",'Inventaire M'!D122="Option/Future",'Inventaire M'!D122="TCN",'Inventaire M'!D122=""),"-",'Inventaire M'!B122)</f>
        <v>RAY FINANCING LLC 6.5 15/07/2031</v>
      </c>
      <c r="D344" s="175"/>
      <c r="E344" s="175" t="e">
        <f>IF(B344="-","",INDEX('Inventaire M'!$A$2:$AW$9305,MATCH(B344,'Inventaire M'!$A:$A,0)-1,MATCH("Cours EUR",'Inventaire M'!#REF!,0)))</f>
        <v>#REF!</v>
      </c>
      <c r="F344" s="175" t="str">
        <f>IF(B344="-","",IF(ISERROR(INDEX('Inventaire M-1'!$A$2:$AZ$9320,MATCH(B344,'Inventaire M-1'!$A:$A,0)-1,MATCH("Cours EUR",'Inventaire M-1'!#REF!,0))),"Buy",INDEX('Inventaire M-1'!$A$2:$AZ$9320,MATCH(B344,'Inventaire M-1'!$A:$A,0)-1,MATCH("Cours EUR",'Inventaire M-1'!#REF!,0))))</f>
        <v>Buy</v>
      </c>
      <c r="G344" s="175"/>
      <c r="H344" s="156" t="e">
        <f>IF(B344="-","",INDEX('Inventaire M'!$A$2:$AW$9305,MATCH(B344,'Inventaire M'!$A:$A,0)-1,MATCH("quantite",'Inventaire M'!#REF!,0)))</f>
        <v>#REF!</v>
      </c>
      <c r="I344" s="156" t="str">
        <f>IF(C344="-","",IF(ISERROR(INDEX('Inventaire M-1'!$A$2:$AZ$9320,MATCH(B344,'Inventaire M-1'!$A:$A,0)-1,MATCH("quantite",'Inventaire M-1'!#REF!,0))),"Buy",INDEX('Inventaire M-1'!$A$2:$AZ$9320,MATCH(B344,'Inventaire M-1'!$A:$A,0)-1,MATCH("quantite",'Inventaire M-1'!#REF!,0))))</f>
        <v>Buy</v>
      </c>
      <c r="J344" s="175"/>
      <c r="K344" s="155" t="e">
        <f>IF(B344="-","",INDEX('Inventaire M'!$A$2:$AW$9305,MATCH(B344,'Inventaire M'!$A:$A,0)-1,MATCH("poids",'Inventaire M'!#REF!,0)))</f>
        <v>#REF!</v>
      </c>
      <c r="L344" s="155" t="str">
        <f>IF(B344="-","",IF(ISERROR(INDEX('Inventaire M-1'!$A$2:$AZ$9320,MATCH(B344,'Inventaire M-1'!$A:$A,0)-1,MATCH("poids",'Inventaire M-1'!#REF!,0))),"Buy",INDEX('Inventaire M-1'!$A$2:$AZ$9320,MATCH(B344,'Inventaire M-1'!$A:$A,0)-1,MATCH("poids",'Inventaire M-1'!#REF!,0))))</f>
        <v>Buy</v>
      </c>
      <c r="M344" s="175"/>
      <c r="N344" s="157" t="str">
        <f t="shared" si="30"/>
        <v>0</v>
      </c>
      <c r="O344" s="98" t="str">
        <f t="shared" si="31"/>
        <v/>
      </c>
      <c r="P344" s="80" t="str">
        <f t="shared" si="32"/>
        <v>RAY FINANCING LLC 6.5 15/07/2031</v>
      </c>
      <c r="Q344" s="75">
        <v>3.2000000000000002E-8</v>
      </c>
      <c r="R344" s="175" t="str">
        <f>IF(OR('Inventaire M-1'!D97="Dispo/Liquidité Investie",'Inventaire M-1'!D97="Option/Future",'Inventaire M-1'!D97="TCN",'Inventaire M-1'!D97=""),"-",'Inventaire M-1'!A97)</f>
        <v>XS2756269960</v>
      </c>
      <c r="S344" s="175" t="str">
        <f>IF(OR('Inventaire M-1'!D97="Dispo/Liquidité Investie",'Inventaire M-1'!D97="Option/Future",'Inventaire M-1'!D97="TCN",'Inventaire M-1'!D97=""),"-",'Inventaire M-1'!B97)</f>
        <v>KAPLA HOLDING SAS 31/07/2030</v>
      </c>
      <c r="T344" s="175"/>
      <c r="U344" s="175" t="e">
        <f>IF(R344="-","",INDEX('Inventaire M-1'!$A$2:$AG$9334,MATCH(R344,'Inventaire M-1'!$A:$A,0)-1,MATCH("Cours EUR",'Inventaire M-1'!#REF!,0)))</f>
        <v>#REF!</v>
      </c>
      <c r="V344" s="175" t="str">
        <f>IF(R344="-","",IF(ISERROR(INDEX('Inventaire M'!$A$2:$AD$9319,MATCH(R344,'Inventaire M'!$A:$A,0)-1,MATCH("Cours EUR",'Inventaire M'!#REF!,0))),"Sell",INDEX('Inventaire M'!$A$2:$AD$9319,MATCH(R344,'Inventaire M'!$A:$A,0)-1,MATCH("Cours EUR",'Inventaire M'!#REF!,0))))</f>
        <v>Sell</v>
      </c>
      <c r="W344" s="175"/>
      <c r="X344" s="156" t="e">
        <f>IF(R344="-","",INDEX('Inventaire M-1'!$A$2:$AG$9334,MATCH(R344,'Inventaire M-1'!$A:$A,0)-1,MATCH("quantite",'Inventaire M-1'!#REF!,0)))</f>
        <v>#REF!</v>
      </c>
      <c r="Y344" s="156" t="str">
        <f>IF(S344="-","",IF(ISERROR(INDEX('Inventaire M'!$A$2:$AD$9319,MATCH(R344,'Inventaire M'!$A:$A,0)-1,MATCH("quantite",'Inventaire M'!#REF!,0))),"Sell",INDEX('Inventaire M'!$A$2:$AD$9319,MATCH(R344,'Inventaire M'!$A:$A,0)-1,MATCH("quantite",'Inventaire M'!#REF!,0))))</f>
        <v>Sell</v>
      </c>
      <c r="Z344" s="175"/>
      <c r="AA344" s="155" t="e">
        <f>IF(R344="-","",INDEX('Inventaire M-1'!$A$2:$AG$9334,MATCH(R344,'Inventaire M-1'!$A:$A,0)-1,MATCH("poids",'Inventaire M-1'!#REF!,0)))</f>
        <v>#REF!</v>
      </c>
      <c r="AB344" s="155" t="str">
        <f>IF(R344="-","",IF(ISERROR(INDEX('Inventaire M'!$A$2:$AD$9319,MATCH(R344,'Inventaire M'!$A:$A,0)-1,MATCH("poids",'Inventaire M'!#REF!,0))),"Sell",INDEX('Inventaire M'!$A$2:$AD$9319,MATCH(R344,'Inventaire M'!$A:$A,0)-1,MATCH("poids",'Inventaire M'!#REF!,0))))</f>
        <v>Sell</v>
      </c>
      <c r="AC344" s="175"/>
      <c r="AD344" s="157" t="str">
        <f t="shared" si="33"/>
        <v>0</v>
      </c>
      <c r="AE344" s="98" t="str">
        <f t="shared" si="34"/>
        <v/>
      </c>
      <c r="AF344" s="80" t="str">
        <f t="shared" si="35"/>
        <v>KAPLA HOLDING SAS 31/07/2030</v>
      </c>
    </row>
    <row r="345" spans="2:32" outlineLevel="1">
      <c r="B345" s="175" t="str">
        <f>IF(OR('Inventaire M'!D123="Dispo/Liquidité Investie",'Inventaire M'!D123="Option/Future",'Inventaire M'!D123="TCN",'Inventaire M'!D123=""),"-",'Inventaire M'!A123)</f>
        <v>XS2854303729</v>
      </c>
      <c r="C345" s="175" t="str">
        <f>IF(OR('Inventaire M'!D123="Dispo/Liquidité Investie",'Inventaire M'!D123="Option/Future",'Inventaire M'!D123="TCN",'Inventaire M'!D123=""),"-",'Inventaire M'!B123)</f>
        <v>ROSSINI SARL 6.75 31/12/2029</v>
      </c>
      <c r="D345" s="175"/>
      <c r="E345" s="175" t="e">
        <f>IF(B345="-","",INDEX('Inventaire M'!$A$2:$AW$9305,MATCH(B345,'Inventaire M'!$A:$A,0)-1,MATCH("Cours EUR",'Inventaire M'!#REF!,0)))</f>
        <v>#REF!</v>
      </c>
      <c r="F345" s="175" t="str">
        <f>IF(B345="-","",IF(ISERROR(INDEX('Inventaire M-1'!$A$2:$AZ$9320,MATCH(B345,'Inventaire M-1'!$A:$A,0)-1,MATCH("Cours EUR",'Inventaire M-1'!#REF!,0))),"Buy",INDEX('Inventaire M-1'!$A$2:$AZ$9320,MATCH(B345,'Inventaire M-1'!$A:$A,0)-1,MATCH("Cours EUR",'Inventaire M-1'!#REF!,0))))</f>
        <v>Buy</v>
      </c>
      <c r="G345" s="175"/>
      <c r="H345" s="156" t="e">
        <f>IF(B345="-","",INDEX('Inventaire M'!$A$2:$AW$9305,MATCH(B345,'Inventaire M'!$A:$A,0)-1,MATCH("quantite",'Inventaire M'!#REF!,0)))</f>
        <v>#REF!</v>
      </c>
      <c r="I345" s="156" t="str">
        <f>IF(C345="-","",IF(ISERROR(INDEX('Inventaire M-1'!$A$2:$AZ$9320,MATCH(B345,'Inventaire M-1'!$A:$A,0)-1,MATCH("quantite",'Inventaire M-1'!#REF!,0))),"Buy",INDEX('Inventaire M-1'!$A$2:$AZ$9320,MATCH(B345,'Inventaire M-1'!$A:$A,0)-1,MATCH("quantite",'Inventaire M-1'!#REF!,0))))</f>
        <v>Buy</v>
      </c>
      <c r="J345" s="175"/>
      <c r="K345" s="155" t="e">
        <f>IF(B345="-","",INDEX('Inventaire M'!$A$2:$AW$9305,MATCH(B345,'Inventaire M'!$A:$A,0)-1,MATCH("poids",'Inventaire M'!#REF!,0)))</f>
        <v>#REF!</v>
      </c>
      <c r="L345" s="155" t="str">
        <f>IF(B345="-","",IF(ISERROR(INDEX('Inventaire M-1'!$A$2:$AZ$9320,MATCH(B345,'Inventaire M-1'!$A:$A,0)-1,MATCH("poids",'Inventaire M-1'!#REF!,0))),"Buy",INDEX('Inventaire M-1'!$A$2:$AZ$9320,MATCH(B345,'Inventaire M-1'!$A:$A,0)-1,MATCH("poids",'Inventaire M-1'!#REF!,0))))</f>
        <v>Buy</v>
      </c>
      <c r="M345" s="175"/>
      <c r="N345" s="157" t="str">
        <f t="shared" si="30"/>
        <v>0</v>
      </c>
      <c r="O345" s="98" t="str">
        <f t="shared" si="31"/>
        <v/>
      </c>
      <c r="P345" s="80" t="str">
        <f t="shared" si="32"/>
        <v>ROSSINI SARL 6.75 31/12/2029</v>
      </c>
      <c r="Q345" s="75">
        <v>3.2100000000000003E-8</v>
      </c>
      <c r="R345" s="175" t="str">
        <f>IF(OR('Inventaire M-1'!D98="Dispo/Liquidité Investie",'Inventaire M-1'!D98="Option/Future",'Inventaire M-1'!D98="TCN",'Inventaire M-1'!D98=""),"-",'Inventaire M-1'!A98)</f>
        <v>XS2760863329</v>
      </c>
      <c r="S345" s="175" t="str">
        <f>IF(OR('Inventaire M-1'!D98="Dispo/Liquidité Investie",'Inventaire M-1'!D98="Option/Future",'Inventaire M-1'!D98="TCN",'Inventaire M-1'!D98=""),"-",'Inventaire M-1'!B98)</f>
        <v>CIRSA FINANCE INTERNATIONAL SARL 6.5 15/03/2029</v>
      </c>
      <c r="T345" s="175"/>
      <c r="U345" s="175" t="e">
        <f>IF(R345="-","",INDEX('Inventaire M-1'!$A$2:$AG$9334,MATCH(R345,'Inventaire M-1'!$A:$A,0)-1,MATCH("Cours EUR",'Inventaire M-1'!#REF!,0)))</f>
        <v>#REF!</v>
      </c>
      <c r="V345" s="175" t="str">
        <f>IF(R345="-","",IF(ISERROR(INDEX('Inventaire M'!$A$2:$AD$9319,MATCH(R345,'Inventaire M'!$A:$A,0)-1,MATCH("Cours EUR",'Inventaire M'!#REF!,0))),"Sell",INDEX('Inventaire M'!$A$2:$AD$9319,MATCH(R345,'Inventaire M'!$A:$A,0)-1,MATCH("Cours EUR",'Inventaire M'!#REF!,0))))</f>
        <v>Sell</v>
      </c>
      <c r="W345" s="175"/>
      <c r="X345" s="156" t="e">
        <f>IF(R345="-","",INDEX('Inventaire M-1'!$A$2:$AG$9334,MATCH(R345,'Inventaire M-1'!$A:$A,0)-1,MATCH("quantite",'Inventaire M-1'!#REF!,0)))</f>
        <v>#REF!</v>
      </c>
      <c r="Y345" s="156" t="str">
        <f>IF(S345="-","",IF(ISERROR(INDEX('Inventaire M'!$A$2:$AD$9319,MATCH(R345,'Inventaire M'!$A:$A,0)-1,MATCH("quantite",'Inventaire M'!#REF!,0))),"Sell",INDEX('Inventaire M'!$A$2:$AD$9319,MATCH(R345,'Inventaire M'!$A:$A,0)-1,MATCH("quantite",'Inventaire M'!#REF!,0))))</f>
        <v>Sell</v>
      </c>
      <c r="Z345" s="175"/>
      <c r="AA345" s="155" t="e">
        <f>IF(R345="-","",INDEX('Inventaire M-1'!$A$2:$AG$9334,MATCH(R345,'Inventaire M-1'!$A:$A,0)-1,MATCH("poids",'Inventaire M-1'!#REF!,0)))</f>
        <v>#REF!</v>
      </c>
      <c r="AB345" s="155" t="str">
        <f>IF(R345="-","",IF(ISERROR(INDEX('Inventaire M'!$A$2:$AD$9319,MATCH(R345,'Inventaire M'!$A:$A,0)-1,MATCH("poids",'Inventaire M'!#REF!,0))),"Sell",INDEX('Inventaire M'!$A$2:$AD$9319,MATCH(R345,'Inventaire M'!$A:$A,0)-1,MATCH("poids",'Inventaire M'!#REF!,0))))</f>
        <v>Sell</v>
      </c>
      <c r="AC345" s="175"/>
      <c r="AD345" s="157" t="str">
        <f t="shared" si="33"/>
        <v>0</v>
      </c>
      <c r="AE345" s="98" t="str">
        <f t="shared" si="34"/>
        <v/>
      </c>
      <c r="AF345" s="80" t="str">
        <f t="shared" si="35"/>
        <v>CIRSA FINANCE INTERNATIONAL SARL 6.5 15/03/2029</v>
      </c>
    </row>
    <row r="346" spans="2:32" outlineLevel="1">
      <c r="B346" s="175" t="str">
        <f>IF(OR('Inventaire M'!D124="Dispo/Liquidité Investie",'Inventaire M'!D124="Option/Future",'Inventaire M'!D124="TCN",'Inventaire M'!D124=""),"-",'Inventaire M'!A124)</f>
        <v>XS2856819102</v>
      </c>
      <c r="C346" s="175" t="str">
        <f>IF(OR('Inventaire M'!D124="Dispo/Liquidité Investie",'Inventaire M'!D124="Option/Future",'Inventaire M'!D124="TCN",'Inventaire M'!D124=""),"-",'Inventaire M'!B124)</f>
        <v>DUOMO BIDCO SPA 15/07/2031</v>
      </c>
      <c r="D346" s="175"/>
      <c r="E346" s="175" t="e">
        <f>IF(B346="-","",INDEX('Inventaire M'!$A$2:$AW$9305,MATCH(B346,'Inventaire M'!$A:$A,0)-1,MATCH("Cours EUR",'Inventaire M'!#REF!,0)))</f>
        <v>#REF!</v>
      </c>
      <c r="F346" s="175" t="str">
        <f>IF(B346="-","",IF(ISERROR(INDEX('Inventaire M-1'!$A$2:$AZ$9320,MATCH(B346,'Inventaire M-1'!$A:$A,0)-1,MATCH("Cours EUR",'Inventaire M-1'!#REF!,0))),"Buy",INDEX('Inventaire M-1'!$A$2:$AZ$9320,MATCH(B346,'Inventaire M-1'!$A:$A,0)-1,MATCH("Cours EUR",'Inventaire M-1'!#REF!,0))))</f>
        <v>Buy</v>
      </c>
      <c r="G346" s="175"/>
      <c r="H346" s="156" t="e">
        <f>IF(B346="-","",INDEX('Inventaire M'!$A$2:$AW$9305,MATCH(B346,'Inventaire M'!$A:$A,0)-1,MATCH("quantite",'Inventaire M'!#REF!,0)))</f>
        <v>#REF!</v>
      </c>
      <c r="I346" s="156" t="str">
        <f>IF(C346="-","",IF(ISERROR(INDEX('Inventaire M-1'!$A$2:$AZ$9320,MATCH(B346,'Inventaire M-1'!$A:$A,0)-1,MATCH("quantite",'Inventaire M-1'!#REF!,0))),"Buy",INDEX('Inventaire M-1'!$A$2:$AZ$9320,MATCH(B346,'Inventaire M-1'!$A:$A,0)-1,MATCH("quantite",'Inventaire M-1'!#REF!,0))))</f>
        <v>Buy</v>
      </c>
      <c r="J346" s="175"/>
      <c r="K346" s="155" t="e">
        <f>IF(B346="-","",INDEX('Inventaire M'!$A$2:$AW$9305,MATCH(B346,'Inventaire M'!$A:$A,0)-1,MATCH("poids",'Inventaire M'!#REF!,0)))</f>
        <v>#REF!</v>
      </c>
      <c r="L346" s="155" t="str">
        <f>IF(B346="-","",IF(ISERROR(INDEX('Inventaire M-1'!$A$2:$AZ$9320,MATCH(B346,'Inventaire M-1'!$A:$A,0)-1,MATCH("poids",'Inventaire M-1'!#REF!,0))),"Buy",INDEX('Inventaire M-1'!$A$2:$AZ$9320,MATCH(B346,'Inventaire M-1'!$A:$A,0)-1,MATCH("poids",'Inventaire M-1'!#REF!,0))))</f>
        <v>Buy</v>
      </c>
      <c r="M346" s="175"/>
      <c r="N346" s="157" t="str">
        <f t="shared" ref="N346:N409" si="36">IFERROR(IF(I346="Buy",H346,H346-I346),"0")</f>
        <v>0</v>
      </c>
      <c r="O346" s="98" t="str">
        <f t="shared" ref="O346:O409" si="37">IFERROR(IF(N346&gt;0,IF(L346="Buy",K346,K346-L346)+Q346,""),"")</f>
        <v/>
      </c>
      <c r="P346" s="80" t="str">
        <f t="shared" ref="P346:P409" si="38">C346</f>
        <v>DUOMO BIDCO SPA 15/07/2031</v>
      </c>
      <c r="Q346" s="75">
        <v>3.2199999999999997E-8</v>
      </c>
      <c r="R346" s="175" t="str">
        <f>IF(OR('Inventaire M-1'!D99="Dispo/Liquidité Investie",'Inventaire M-1'!D99="Option/Future",'Inventaire M-1'!D99="TCN",'Inventaire M-1'!D99=""),"-",'Inventaire M-1'!A99)</f>
        <v>XS2761223127</v>
      </c>
      <c r="S346" s="175" t="str">
        <f>IF(OR('Inventaire M-1'!D99="Dispo/Liquidité Investie",'Inventaire M-1'!D99="Option/Future",'Inventaire M-1'!D99="TCN",'Inventaire M-1'!D99=""),"-",'Inventaire M-1'!B99)</f>
        <v>GOLDSTORY SAS 6.75 01/02/2030</v>
      </c>
      <c r="T346" s="175"/>
      <c r="U346" s="175" t="e">
        <f>IF(R346="-","",INDEX('Inventaire M-1'!$A$2:$AG$9334,MATCH(R346,'Inventaire M-1'!$A:$A,0)-1,MATCH("Cours EUR",'Inventaire M-1'!#REF!,0)))</f>
        <v>#REF!</v>
      </c>
      <c r="V346" s="175" t="str">
        <f>IF(R346="-","",IF(ISERROR(INDEX('Inventaire M'!$A$2:$AD$9319,MATCH(R346,'Inventaire M'!$A:$A,0)-1,MATCH("Cours EUR",'Inventaire M'!#REF!,0))),"Sell",INDEX('Inventaire M'!$A$2:$AD$9319,MATCH(R346,'Inventaire M'!$A:$A,0)-1,MATCH("Cours EUR",'Inventaire M'!#REF!,0))))</f>
        <v>Sell</v>
      </c>
      <c r="W346" s="175"/>
      <c r="X346" s="156" t="e">
        <f>IF(R346="-","",INDEX('Inventaire M-1'!$A$2:$AG$9334,MATCH(R346,'Inventaire M-1'!$A:$A,0)-1,MATCH("quantite",'Inventaire M-1'!#REF!,0)))</f>
        <v>#REF!</v>
      </c>
      <c r="Y346" s="156" t="str">
        <f>IF(S346="-","",IF(ISERROR(INDEX('Inventaire M'!$A$2:$AD$9319,MATCH(R346,'Inventaire M'!$A:$A,0)-1,MATCH("quantite",'Inventaire M'!#REF!,0))),"Sell",INDEX('Inventaire M'!$A$2:$AD$9319,MATCH(R346,'Inventaire M'!$A:$A,0)-1,MATCH("quantite",'Inventaire M'!#REF!,0))))</f>
        <v>Sell</v>
      </c>
      <c r="Z346" s="175"/>
      <c r="AA346" s="155" t="e">
        <f>IF(R346="-","",INDEX('Inventaire M-1'!$A$2:$AG$9334,MATCH(R346,'Inventaire M-1'!$A:$A,0)-1,MATCH("poids",'Inventaire M-1'!#REF!,0)))</f>
        <v>#REF!</v>
      </c>
      <c r="AB346" s="155" t="str">
        <f>IF(R346="-","",IF(ISERROR(INDEX('Inventaire M'!$A$2:$AD$9319,MATCH(R346,'Inventaire M'!$A:$A,0)-1,MATCH("poids",'Inventaire M'!#REF!,0))),"Sell",INDEX('Inventaire M'!$A$2:$AD$9319,MATCH(R346,'Inventaire M'!$A:$A,0)-1,MATCH("poids",'Inventaire M'!#REF!,0))))</f>
        <v>Sell</v>
      </c>
      <c r="AC346" s="175"/>
      <c r="AD346" s="157" t="str">
        <f t="shared" ref="AD346:AD409" si="39">IFERROR(IF(Y346="Sell",-X346,Y346-X346),"0")</f>
        <v>0</v>
      </c>
      <c r="AE346" s="98" t="str">
        <f t="shared" ref="AE346:AE409" si="40">IFERROR(IF(AD346&lt;0,IF(AB346="Sell",AA346+10%,AB346-AA346)+Q346,""),"")</f>
        <v/>
      </c>
      <c r="AF346" s="80" t="str">
        <f t="shared" ref="AF346:AF409" si="41">S346</f>
        <v>GOLDSTORY SAS 6.75 01/02/2030</v>
      </c>
    </row>
    <row r="347" spans="2:32" outlineLevel="1">
      <c r="B347" s="175" t="str">
        <f>IF(OR('Inventaire M'!D125="Dispo/Liquidité Investie",'Inventaire M'!D125="Option/Future",'Inventaire M'!D125="TCN",'Inventaire M'!D125=""),"-",'Inventaire M'!A125)</f>
        <v>XS2857868942</v>
      </c>
      <c r="C347" s="175" t="str">
        <f>IF(OR('Inventaire M'!D125="Dispo/Liquidité Investie",'Inventaire M'!D125="Option/Future",'Inventaire M'!D125="TCN",'Inventaire M'!D125=""),"-",'Inventaire M'!B125)</f>
        <v>AMBER FINCO PLC 6.625 15/07/2029</v>
      </c>
      <c r="D347" s="175"/>
      <c r="E347" s="175" t="e">
        <f>IF(B347="-","",INDEX('Inventaire M'!$A$2:$AW$9305,MATCH(B347,'Inventaire M'!$A:$A,0)-1,MATCH("Cours EUR",'Inventaire M'!#REF!,0)))</f>
        <v>#REF!</v>
      </c>
      <c r="F347" s="175" t="str">
        <f>IF(B347="-","",IF(ISERROR(INDEX('Inventaire M-1'!$A$2:$AZ$9320,MATCH(B347,'Inventaire M-1'!$A:$A,0)-1,MATCH("Cours EUR",'Inventaire M-1'!#REF!,0))),"Buy",INDEX('Inventaire M-1'!$A$2:$AZ$9320,MATCH(B347,'Inventaire M-1'!$A:$A,0)-1,MATCH("Cours EUR",'Inventaire M-1'!#REF!,0))))</f>
        <v>Buy</v>
      </c>
      <c r="G347" s="175"/>
      <c r="H347" s="156" t="e">
        <f>IF(B347="-","",INDEX('Inventaire M'!$A$2:$AW$9305,MATCH(B347,'Inventaire M'!$A:$A,0)-1,MATCH("quantite",'Inventaire M'!#REF!,0)))</f>
        <v>#REF!</v>
      </c>
      <c r="I347" s="156" t="str">
        <f>IF(C347="-","",IF(ISERROR(INDEX('Inventaire M-1'!$A$2:$AZ$9320,MATCH(B347,'Inventaire M-1'!$A:$A,0)-1,MATCH("quantite",'Inventaire M-1'!#REF!,0))),"Buy",INDEX('Inventaire M-1'!$A$2:$AZ$9320,MATCH(B347,'Inventaire M-1'!$A:$A,0)-1,MATCH("quantite",'Inventaire M-1'!#REF!,0))))</f>
        <v>Buy</v>
      </c>
      <c r="J347" s="175"/>
      <c r="K347" s="155" t="e">
        <f>IF(B347="-","",INDEX('Inventaire M'!$A$2:$AW$9305,MATCH(B347,'Inventaire M'!$A:$A,0)-1,MATCH("poids",'Inventaire M'!#REF!,0)))</f>
        <v>#REF!</v>
      </c>
      <c r="L347" s="155" t="str">
        <f>IF(B347="-","",IF(ISERROR(INDEX('Inventaire M-1'!$A$2:$AZ$9320,MATCH(B347,'Inventaire M-1'!$A:$A,0)-1,MATCH("poids",'Inventaire M-1'!#REF!,0))),"Buy",INDEX('Inventaire M-1'!$A$2:$AZ$9320,MATCH(B347,'Inventaire M-1'!$A:$A,0)-1,MATCH("poids",'Inventaire M-1'!#REF!,0))))</f>
        <v>Buy</v>
      </c>
      <c r="M347" s="175"/>
      <c r="N347" s="157" t="str">
        <f t="shared" si="36"/>
        <v>0</v>
      </c>
      <c r="O347" s="98" t="str">
        <f t="shared" si="37"/>
        <v/>
      </c>
      <c r="P347" s="80" t="str">
        <f t="shared" si="38"/>
        <v>AMBER FINCO PLC 6.625 15/07/2029</v>
      </c>
      <c r="Q347" s="75">
        <v>3.2299999999999998E-8</v>
      </c>
      <c r="R347" s="175" t="str">
        <f>IF(OR('Inventaire M-1'!D100="Dispo/Liquidité Investie",'Inventaire M-1'!D100="Option/Future",'Inventaire M-1'!D100="TCN",'Inventaire M-1'!D100=""),"-",'Inventaire M-1'!A100)</f>
        <v>XS2769426623</v>
      </c>
      <c r="S347" s="175" t="str">
        <f>IF(OR('Inventaire M-1'!D100="Dispo/Liquidité Investie",'Inventaire M-1'!D100="Option/Future",'Inventaire M-1'!D100="TCN",'Inventaire M-1'!D100=""),"-",'Inventaire M-1'!B100)</f>
        <v>AVIS BUDGET FINANCE PLC 7 28/02/2029</v>
      </c>
      <c r="T347" s="175"/>
      <c r="U347" s="175" t="e">
        <f>IF(R347="-","",INDEX('Inventaire M-1'!$A$2:$AG$9334,MATCH(R347,'Inventaire M-1'!$A:$A,0)-1,MATCH("Cours EUR",'Inventaire M-1'!#REF!,0)))</f>
        <v>#REF!</v>
      </c>
      <c r="V347" s="175" t="str">
        <f>IF(R347="-","",IF(ISERROR(INDEX('Inventaire M'!$A$2:$AD$9319,MATCH(R347,'Inventaire M'!$A:$A,0)-1,MATCH("Cours EUR",'Inventaire M'!#REF!,0))),"Sell",INDEX('Inventaire M'!$A$2:$AD$9319,MATCH(R347,'Inventaire M'!$A:$A,0)-1,MATCH("Cours EUR",'Inventaire M'!#REF!,0))))</f>
        <v>Sell</v>
      </c>
      <c r="W347" s="175"/>
      <c r="X347" s="156" t="e">
        <f>IF(R347="-","",INDEX('Inventaire M-1'!$A$2:$AG$9334,MATCH(R347,'Inventaire M-1'!$A:$A,0)-1,MATCH("quantite",'Inventaire M-1'!#REF!,0)))</f>
        <v>#REF!</v>
      </c>
      <c r="Y347" s="156" t="str">
        <f>IF(S347="-","",IF(ISERROR(INDEX('Inventaire M'!$A$2:$AD$9319,MATCH(R347,'Inventaire M'!$A:$A,0)-1,MATCH("quantite",'Inventaire M'!#REF!,0))),"Sell",INDEX('Inventaire M'!$A$2:$AD$9319,MATCH(R347,'Inventaire M'!$A:$A,0)-1,MATCH("quantite",'Inventaire M'!#REF!,0))))</f>
        <v>Sell</v>
      </c>
      <c r="Z347" s="175"/>
      <c r="AA347" s="155" t="e">
        <f>IF(R347="-","",INDEX('Inventaire M-1'!$A$2:$AG$9334,MATCH(R347,'Inventaire M-1'!$A:$A,0)-1,MATCH("poids",'Inventaire M-1'!#REF!,0)))</f>
        <v>#REF!</v>
      </c>
      <c r="AB347" s="155" t="str">
        <f>IF(R347="-","",IF(ISERROR(INDEX('Inventaire M'!$A$2:$AD$9319,MATCH(R347,'Inventaire M'!$A:$A,0)-1,MATCH("poids",'Inventaire M'!#REF!,0))),"Sell",INDEX('Inventaire M'!$A$2:$AD$9319,MATCH(R347,'Inventaire M'!$A:$A,0)-1,MATCH("poids",'Inventaire M'!#REF!,0))))</f>
        <v>Sell</v>
      </c>
      <c r="AC347" s="175"/>
      <c r="AD347" s="157" t="str">
        <f t="shared" si="39"/>
        <v>0</v>
      </c>
      <c r="AE347" s="98" t="str">
        <f t="shared" si="40"/>
        <v/>
      </c>
      <c r="AF347" s="80" t="str">
        <f t="shared" si="41"/>
        <v>AVIS BUDGET FINANCE PLC 7 28/02/2029</v>
      </c>
    </row>
    <row r="348" spans="2:32" outlineLevel="1">
      <c r="B348" s="175" t="str">
        <f>IF(OR('Inventaire M'!D126="Dispo/Liquidité Investie",'Inventaire M'!D126="Option/Future",'Inventaire M'!D126="TCN",'Inventaire M'!D126=""),"-",'Inventaire M'!A126)</f>
        <v>XS2859406139</v>
      </c>
      <c r="C348" s="175" t="str">
        <f>IF(OR('Inventaire M'!D126="Dispo/Liquidité Investie",'Inventaire M'!D126="Option/Future",'Inventaire M'!D126="TCN",'Inventaire M'!D126=""),"-",'Inventaire M'!B126)</f>
        <v>ZEGONA FINANCE PLC 6.75 15/07/2029</v>
      </c>
      <c r="D348" s="175"/>
      <c r="E348" s="175" t="e">
        <f>IF(B348="-","",INDEX('Inventaire M'!$A$2:$AW$9305,MATCH(B348,'Inventaire M'!$A:$A,0)-1,MATCH("Cours EUR",'Inventaire M'!#REF!,0)))</f>
        <v>#REF!</v>
      </c>
      <c r="F348" s="175" t="str">
        <f>IF(B348="-","",IF(ISERROR(INDEX('Inventaire M-1'!$A$2:$AZ$9320,MATCH(B348,'Inventaire M-1'!$A:$A,0)-1,MATCH("Cours EUR",'Inventaire M-1'!#REF!,0))),"Buy",INDEX('Inventaire M-1'!$A$2:$AZ$9320,MATCH(B348,'Inventaire M-1'!$A:$A,0)-1,MATCH("Cours EUR",'Inventaire M-1'!#REF!,0))))</f>
        <v>Buy</v>
      </c>
      <c r="G348" s="175"/>
      <c r="H348" s="156" t="e">
        <f>IF(B348="-","",INDEX('Inventaire M'!$A$2:$AW$9305,MATCH(B348,'Inventaire M'!$A:$A,0)-1,MATCH("quantite",'Inventaire M'!#REF!,0)))</f>
        <v>#REF!</v>
      </c>
      <c r="I348" s="156" t="str">
        <f>IF(C348="-","",IF(ISERROR(INDEX('Inventaire M-1'!$A$2:$AZ$9320,MATCH(B348,'Inventaire M-1'!$A:$A,0)-1,MATCH("quantite",'Inventaire M-1'!#REF!,0))),"Buy",INDEX('Inventaire M-1'!$A$2:$AZ$9320,MATCH(B348,'Inventaire M-1'!$A:$A,0)-1,MATCH("quantite",'Inventaire M-1'!#REF!,0))))</f>
        <v>Buy</v>
      </c>
      <c r="J348" s="175"/>
      <c r="K348" s="155" t="e">
        <f>IF(B348="-","",INDEX('Inventaire M'!$A$2:$AW$9305,MATCH(B348,'Inventaire M'!$A:$A,0)-1,MATCH("poids",'Inventaire M'!#REF!,0)))</f>
        <v>#REF!</v>
      </c>
      <c r="L348" s="155" t="str">
        <f>IF(B348="-","",IF(ISERROR(INDEX('Inventaire M-1'!$A$2:$AZ$9320,MATCH(B348,'Inventaire M-1'!$A:$A,0)-1,MATCH("poids",'Inventaire M-1'!#REF!,0))),"Buy",INDEX('Inventaire M-1'!$A$2:$AZ$9320,MATCH(B348,'Inventaire M-1'!$A:$A,0)-1,MATCH("poids",'Inventaire M-1'!#REF!,0))))</f>
        <v>Buy</v>
      </c>
      <c r="M348" s="175"/>
      <c r="N348" s="157" t="str">
        <f t="shared" si="36"/>
        <v>0</v>
      </c>
      <c r="O348" s="98" t="str">
        <f t="shared" si="37"/>
        <v/>
      </c>
      <c r="P348" s="80" t="str">
        <f t="shared" si="38"/>
        <v>ZEGONA FINANCE PLC 6.75 15/07/2029</v>
      </c>
      <c r="Q348" s="75">
        <v>3.2399999999999999E-8</v>
      </c>
      <c r="R348" s="175" t="str">
        <f>IF(OR('Inventaire M-1'!D101="Dispo/Liquidité Investie",'Inventaire M-1'!D101="Option/Future",'Inventaire M-1'!D101="TCN",'Inventaire M-1'!D101=""),"-",'Inventaire M-1'!A101)</f>
        <v>XS2770512064</v>
      </c>
      <c r="S348" s="175" t="str">
        <f>IF(OR('Inventaire M-1'!D101="Dispo/Liquidité Investie",'Inventaire M-1'!D101="Option/Future",'Inventaire M-1'!D101="TCN",'Inventaire M-1'!D101=""),"-",'Inventaire M-1'!B101)</f>
        <v>ENEL SPA PERP</v>
      </c>
      <c r="T348" s="175"/>
      <c r="U348" s="175" t="e">
        <f>IF(R348="-","",INDEX('Inventaire M-1'!$A$2:$AG$9334,MATCH(R348,'Inventaire M-1'!$A:$A,0)-1,MATCH("Cours EUR",'Inventaire M-1'!#REF!,0)))</f>
        <v>#REF!</v>
      </c>
      <c r="V348" s="175" t="str">
        <f>IF(R348="-","",IF(ISERROR(INDEX('Inventaire M'!$A$2:$AD$9319,MATCH(R348,'Inventaire M'!$A:$A,0)-1,MATCH("Cours EUR",'Inventaire M'!#REF!,0))),"Sell",INDEX('Inventaire M'!$A$2:$AD$9319,MATCH(R348,'Inventaire M'!$A:$A,0)-1,MATCH("Cours EUR",'Inventaire M'!#REF!,0))))</f>
        <v>Sell</v>
      </c>
      <c r="W348" s="175"/>
      <c r="X348" s="156" t="e">
        <f>IF(R348="-","",INDEX('Inventaire M-1'!$A$2:$AG$9334,MATCH(R348,'Inventaire M-1'!$A:$A,0)-1,MATCH("quantite",'Inventaire M-1'!#REF!,0)))</f>
        <v>#REF!</v>
      </c>
      <c r="Y348" s="156" t="str">
        <f>IF(S348="-","",IF(ISERROR(INDEX('Inventaire M'!$A$2:$AD$9319,MATCH(R348,'Inventaire M'!$A:$A,0)-1,MATCH("quantite",'Inventaire M'!#REF!,0))),"Sell",INDEX('Inventaire M'!$A$2:$AD$9319,MATCH(R348,'Inventaire M'!$A:$A,0)-1,MATCH("quantite",'Inventaire M'!#REF!,0))))</f>
        <v>Sell</v>
      </c>
      <c r="Z348" s="175"/>
      <c r="AA348" s="155" t="e">
        <f>IF(R348="-","",INDEX('Inventaire M-1'!$A$2:$AG$9334,MATCH(R348,'Inventaire M-1'!$A:$A,0)-1,MATCH("poids",'Inventaire M-1'!#REF!,0)))</f>
        <v>#REF!</v>
      </c>
      <c r="AB348" s="155" t="str">
        <f>IF(R348="-","",IF(ISERROR(INDEX('Inventaire M'!$A$2:$AD$9319,MATCH(R348,'Inventaire M'!$A:$A,0)-1,MATCH("poids",'Inventaire M'!#REF!,0))),"Sell",INDEX('Inventaire M'!$A$2:$AD$9319,MATCH(R348,'Inventaire M'!$A:$A,0)-1,MATCH("poids",'Inventaire M'!#REF!,0))))</f>
        <v>Sell</v>
      </c>
      <c r="AC348" s="175"/>
      <c r="AD348" s="157" t="str">
        <f t="shared" si="39"/>
        <v>0</v>
      </c>
      <c r="AE348" s="98" t="str">
        <f t="shared" si="40"/>
        <v/>
      </c>
      <c r="AF348" s="80" t="str">
        <f t="shared" si="41"/>
        <v>ENEL SPA PERP</v>
      </c>
    </row>
    <row r="349" spans="2:32" outlineLevel="1">
      <c r="B349" s="175" t="str">
        <f>IF(OR('Inventaire M'!D127="Dispo/Liquidité Investie",'Inventaire M'!D127="Option/Future",'Inventaire M'!D127="TCN",'Inventaire M'!D127=""),"-",'Inventaire M'!A127)</f>
        <v>XS2864287466</v>
      </c>
      <c r="C349" s="175" t="str">
        <f>IF(OR('Inventaire M'!D127="Dispo/Liquidité Investie",'Inventaire M'!D127="Option/Future",'Inventaire M'!D127="TCN",'Inventaire M'!D127=""),"-",'Inventaire M'!B127)</f>
        <v>TEAMSYSTEM SPA 31/07/2031</v>
      </c>
      <c r="D349" s="175"/>
      <c r="E349" s="175" t="e">
        <f>IF(B349="-","",INDEX('Inventaire M'!$A$2:$AW$9305,MATCH(B349,'Inventaire M'!$A:$A,0)-1,MATCH("Cours EUR",'Inventaire M'!#REF!,0)))</f>
        <v>#REF!</v>
      </c>
      <c r="F349" s="175" t="str">
        <f>IF(B349="-","",IF(ISERROR(INDEX('Inventaire M-1'!$A$2:$AZ$9320,MATCH(B349,'Inventaire M-1'!$A:$A,0)-1,MATCH("Cours EUR",'Inventaire M-1'!#REF!,0))),"Buy",INDEX('Inventaire M-1'!$A$2:$AZ$9320,MATCH(B349,'Inventaire M-1'!$A:$A,0)-1,MATCH("Cours EUR",'Inventaire M-1'!#REF!,0))))</f>
        <v>Buy</v>
      </c>
      <c r="G349" s="175"/>
      <c r="H349" s="156" t="e">
        <f>IF(B349="-","",INDEX('Inventaire M'!$A$2:$AW$9305,MATCH(B349,'Inventaire M'!$A:$A,0)-1,MATCH("quantite",'Inventaire M'!#REF!,0)))</f>
        <v>#REF!</v>
      </c>
      <c r="I349" s="156" t="str">
        <f>IF(C349="-","",IF(ISERROR(INDEX('Inventaire M-1'!$A$2:$AZ$9320,MATCH(B349,'Inventaire M-1'!$A:$A,0)-1,MATCH("quantite",'Inventaire M-1'!#REF!,0))),"Buy",INDEX('Inventaire M-1'!$A$2:$AZ$9320,MATCH(B349,'Inventaire M-1'!$A:$A,0)-1,MATCH("quantite",'Inventaire M-1'!#REF!,0))))</f>
        <v>Buy</v>
      </c>
      <c r="J349" s="175"/>
      <c r="K349" s="155" t="e">
        <f>IF(B349="-","",INDEX('Inventaire M'!$A$2:$AW$9305,MATCH(B349,'Inventaire M'!$A:$A,0)-1,MATCH("poids",'Inventaire M'!#REF!,0)))</f>
        <v>#REF!</v>
      </c>
      <c r="L349" s="155" t="str">
        <f>IF(B349="-","",IF(ISERROR(INDEX('Inventaire M-1'!$A$2:$AZ$9320,MATCH(B349,'Inventaire M-1'!$A:$A,0)-1,MATCH("poids",'Inventaire M-1'!#REF!,0))),"Buy",INDEX('Inventaire M-1'!$A$2:$AZ$9320,MATCH(B349,'Inventaire M-1'!$A:$A,0)-1,MATCH("poids",'Inventaire M-1'!#REF!,0))))</f>
        <v>Buy</v>
      </c>
      <c r="M349" s="175"/>
      <c r="N349" s="157" t="str">
        <f t="shared" si="36"/>
        <v>0</v>
      </c>
      <c r="O349" s="98" t="str">
        <f t="shared" si="37"/>
        <v/>
      </c>
      <c r="P349" s="80" t="str">
        <f t="shared" si="38"/>
        <v>TEAMSYSTEM SPA 31/07/2031</v>
      </c>
      <c r="Q349" s="75">
        <v>3.25E-8</v>
      </c>
      <c r="R349" s="175" t="str">
        <f>IF(OR('Inventaire M-1'!D102="Dispo/Liquidité Investie",'Inventaire M-1'!D102="Option/Future",'Inventaire M-1'!D102="TCN",'Inventaire M-1'!D102=""),"-",'Inventaire M-1'!A102)</f>
        <v>XS2783649176</v>
      </c>
      <c r="S349" s="175" t="str">
        <f>IF(OR('Inventaire M-1'!D102="Dispo/Liquidité Investie",'Inventaire M-1'!D102="Option/Future",'Inventaire M-1'!D102="TCN",'Inventaire M-1'!D102=""),"-",'Inventaire M-1'!B102)</f>
        <v>TENNET HOLDING BV PERP</v>
      </c>
      <c r="T349" s="175"/>
      <c r="U349" s="175" t="e">
        <f>IF(R349="-","",INDEX('Inventaire M-1'!$A$2:$AG$9334,MATCH(R349,'Inventaire M-1'!$A:$A,0)-1,MATCH("Cours EUR",'Inventaire M-1'!#REF!,0)))</f>
        <v>#REF!</v>
      </c>
      <c r="V349" s="175" t="str">
        <f>IF(R349="-","",IF(ISERROR(INDEX('Inventaire M'!$A$2:$AD$9319,MATCH(R349,'Inventaire M'!$A:$A,0)-1,MATCH("Cours EUR",'Inventaire M'!#REF!,0))),"Sell",INDEX('Inventaire M'!$A$2:$AD$9319,MATCH(R349,'Inventaire M'!$A:$A,0)-1,MATCH("Cours EUR",'Inventaire M'!#REF!,0))))</f>
        <v>Sell</v>
      </c>
      <c r="W349" s="175"/>
      <c r="X349" s="156" t="e">
        <f>IF(R349="-","",INDEX('Inventaire M-1'!$A$2:$AG$9334,MATCH(R349,'Inventaire M-1'!$A:$A,0)-1,MATCH("quantite",'Inventaire M-1'!#REF!,0)))</f>
        <v>#REF!</v>
      </c>
      <c r="Y349" s="156" t="str">
        <f>IF(S349="-","",IF(ISERROR(INDEX('Inventaire M'!$A$2:$AD$9319,MATCH(R349,'Inventaire M'!$A:$A,0)-1,MATCH("quantite",'Inventaire M'!#REF!,0))),"Sell",INDEX('Inventaire M'!$A$2:$AD$9319,MATCH(R349,'Inventaire M'!$A:$A,0)-1,MATCH("quantite",'Inventaire M'!#REF!,0))))</f>
        <v>Sell</v>
      </c>
      <c r="Z349" s="175"/>
      <c r="AA349" s="155" t="e">
        <f>IF(R349="-","",INDEX('Inventaire M-1'!$A$2:$AG$9334,MATCH(R349,'Inventaire M-1'!$A:$A,0)-1,MATCH("poids",'Inventaire M-1'!#REF!,0)))</f>
        <v>#REF!</v>
      </c>
      <c r="AB349" s="155" t="str">
        <f>IF(R349="-","",IF(ISERROR(INDEX('Inventaire M'!$A$2:$AD$9319,MATCH(R349,'Inventaire M'!$A:$A,0)-1,MATCH("poids",'Inventaire M'!#REF!,0))),"Sell",INDEX('Inventaire M'!$A$2:$AD$9319,MATCH(R349,'Inventaire M'!$A:$A,0)-1,MATCH("poids",'Inventaire M'!#REF!,0))))</f>
        <v>Sell</v>
      </c>
      <c r="AC349" s="175"/>
      <c r="AD349" s="157" t="str">
        <f t="shared" si="39"/>
        <v>0</v>
      </c>
      <c r="AE349" s="98" t="str">
        <f t="shared" si="40"/>
        <v/>
      </c>
      <c r="AF349" s="80" t="str">
        <f t="shared" si="41"/>
        <v>TENNET HOLDING BV PERP</v>
      </c>
    </row>
    <row r="350" spans="2:32" outlineLevel="1">
      <c r="B350" s="175" t="str">
        <f>IF(OR('Inventaire M'!D128="Dispo/Liquidité Investie",'Inventaire M'!D128="Option/Future",'Inventaire M'!D128="TCN",'Inventaire M'!D128=""),"-",'Inventaire M'!A128)</f>
        <v>XS2864439158</v>
      </c>
      <c r="C350" s="175" t="str">
        <f>IF(OR('Inventaire M'!D128="Dispo/Liquidité Investie",'Inventaire M'!D128="Option/Future",'Inventaire M'!D128="TCN",'Inventaire M'!D128=""),"-",'Inventaire M'!B128)</f>
        <v>MUNDYS SPA 4.5 24/01/2030</v>
      </c>
      <c r="D350" s="175"/>
      <c r="E350" s="175" t="e">
        <f>IF(B350="-","",INDEX('Inventaire M'!$A$2:$AW$9305,MATCH(B350,'Inventaire M'!$A:$A,0)-1,MATCH("Cours EUR",'Inventaire M'!#REF!,0)))</f>
        <v>#REF!</v>
      </c>
      <c r="F350" s="175" t="str">
        <f>IF(B350="-","",IF(ISERROR(INDEX('Inventaire M-1'!$A$2:$AZ$9320,MATCH(B350,'Inventaire M-1'!$A:$A,0)-1,MATCH("Cours EUR",'Inventaire M-1'!#REF!,0))),"Buy",INDEX('Inventaire M-1'!$A$2:$AZ$9320,MATCH(B350,'Inventaire M-1'!$A:$A,0)-1,MATCH("Cours EUR",'Inventaire M-1'!#REF!,0))))</f>
        <v>Buy</v>
      </c>
      <c r="G350" s="175"/>
      <c r="H350" s="156" t="e">
        <f>IF(B350="-","",INDEX('Inventaire M'!$A$2:$AW$9305,MATCH(B350,'Inventaire M'!$A:$A,0)-1,MATCH("quantite",'Inventaire M'!#REF!,0)))</f>
        <v>#REF!</v>
      </c>
      <c r="I350" s="156" t="str">
        <f>IF(C350="-","",IF(ISERROR(INDEX('Inventaire M-1'!$A$2:$AZ$9320,MATCH(B350,'Inventaire M-1'!$A:$A,0)-1,MATCH("quantite",'Inventaire M-1'!#REF!,0))),"Buy",INDEX('Inventaire M-1'!$A$2:$AZ$9320,MATCH(B350,'Inventaire M-1'!$A:$A,0)-1,MATCH("quantite",'Inventaire M-1'!#REF!,0))))</f>
        <v>Buy</v>
      </c>
      <c r="J350" s="175"/>
      <c r="K350" s="155" t="e">
        <f>IF(B350="-","",INDEX('Inventaire M'!$A$2:$AW$9305,MATCH(B350,'Inventaire M'!$A:$A,0)-1,MATCH("poids",'Inventaire M'!#REF!,0)))</f>
        <v>#REF!</v>
      </c>
      <c r="L350" s="155" t="str">
        <f>IF(B350="-","",IF(ISERROR(INDEX('Inventaire M-1'!$A$2:$AZ$9320,MATCH(B350,'Inventaire M-1'!$A:$A,0)-1,MATCH("poids",'Inventaire M-1'!#REF!,0))),"Buy",INDEX('Inventaire M-1'!$A$2:$AZ$9320,MATCH(B350,'Inventaire M-1'!$A:$A,0)-1,MATCH("poids",'Inventaire M-1'!#REF!,0))))</f>
        <v>Buy</v>
      </c>
      <c r="M350" s="175"/>
      <c r="N350" s="157" t="str">
        <f t="shared" si="36"/>
        <v>0</v>
      </c>
      <c r="O350" s="98" t="str">
        <f t="shared" si="37"/>
        <v/>
      </c>
      <c r="P350" s="80" t="str">
        <f t="shared" si="38"/>
        <v>MUNDYS SPA 4.5 24/01/2030</v>
      </c>
      <c r="Q350" s="75">
        <v>3.2600000000000001E-8</v>
      </c>
      <c r="R350" s="175" t="str">
        <f>IF(OR('Inventaire M-1'!D103="Dispo/Liquidité Investie",'Inventaire M-1'!D103="Option/Future",'Inventaire M-1'!D103="TCN",'Inventaire M-1'!D103=""),"-",'Inventaire M-1'!A103)</f>
        <v>XS2792575453</v>
      </c>
      <c r="S350" s="175" t="str">
        <f>IF(OR('Inventaire M-1'!D103="Dispo/Liquidité Investie",'Inventaire M-1'!D103="Option/Future",'Inventaire M-1'!D103="TCN",'Inventaire M-1'!D103=""),"-",'Inventaire M-1'!B103)</f>
        <v>CT INVESTMENT GMBH 6.375 15/04/2030</v>
      </c>
      <c r="T350" s="175"/>
      <c r="U350" s="175" t="e">
        <f>IF(R350="-","",INDEX('Inventaire M-1'!$A$2:$AG$9334,MATCH(R350,'Inventaire M-1'!$A:$A,0)-1,MATCH("Cours EUR",'Inventaire M-1'!#REF!,0)))</f>
        <v>#REF!</v>
      </c>
      <c r="V350" s="175" t="str">
        <f>IF(R350="-","",IF(ISERROR(INDEX('Inventaire M'!$A$2:$AD$9319,MATCH(R350,'Inventaire M'!$A:$A,0)-1,MATCH("Cours EUR",'Inventaire M'!#REF!,0))),"Sell",INDEX('Inventaire M'!$A$2:$AD$9319,MATCH(R350,'Inventaire M'!$A:$A,0)-1,MATCH("Cours EUR",'Inventaire M'!#REF!,0))))</f>
        <v>Sell</v>
      </c>
      <c r="W350" s="175"/>
      <c r="X350" s="156" t="e">
        <f>IF(R350="-","",INDEX('Inventaire M-1'!$A$2:$AG$9334,MATCH(R350,'Inventaire M-1'!$A:$A,0)-1,MATCH("quantite",'Inventaire M-1'!#REF!,0)))</f>
        <v>#REF!</v>
      </c>
      <c r="Y350" s="156" t="str">
        <f>IF(S350="-","",IF(ISERROR(INDEX('Inventaire M'!$A$2:$AD$9319,MATCH(R350,'Inventaire M'!$A:$A,0)-1,MATCH("quantite",'Inventaire M'!#REF!,0))),"Sell",INDEX('Inventaire M'!$A$2:$AD$9319,MATCH(R350,'Inventaire M'!$A:$A,0)-1,MATCH("quantite",'Inventaire M'!#REF!,0))))</f>
        <v>Sell</v>
      </c>
      <c r="Z350" s="175"/>
      <c r="AA350" s="155" t="e">
        <f>IF(R350="-","",INDEX('Inventaire M-1'!$A$2:$AG$9334,MATCH(R350,'Inventaire M-1'!$A:$A,0)-1,MATCH("poids",'Inventaire M-1'!#REF!,0)))</f>
        <v>#REF!</v>
      </c>
      <c r="AB350" s="155" t="str">
        <f>IF(R350="-","",IF(ISERROR(INDEX('Inventaire M'!$A$2:$AD$9319,MATCH(R350,'Inventaire M'!$A:$A,0)-1,MATCH("poids",'Inventaire M'!#REF!,0))),"Sell",INDEX('Inventaire M'!$A$2:$AD$9319,MATCH(R350,'Inventaire M'!$A:$A,0)-1,MATCH("poids",'Inventaire M'!#REF!,0))))</f>
        <v>Sell</v>
      </c>
      <c r="AC350" s="175"/>
      <c r="AD350" s="157" t="str">
        <f t="shared" si="39"/>
        <v>0</v>
      </c>
      <c r="AE350" s="98" t="str">
        <f t="shared" si="40"/>
        <v/>
      </c>
      <c r="AF350" s="80" t="str">
        <f t="shared" si="41"/>
        <v>CT INVESTMENT GMBH 6.375 15/04/2030</v>
      </c>
    </row>
    <row r="351" spans="2:32" outlineLevel="1">
      <c r="B351" s="175" t="str">
        <f>IF(OR('Inventaire M'!D129="Dispo/Liquidité Investie",'Inventaire M'!D129="Option/Future",'Inventaire M'!D129="TCN",'Inventaire M'!D129=""),"-",'Inventaire M'!A129)</f>
        <v>XS2867238532</v>
      </c>
      <c r="C351" s="175" t="str">
        <f>IF(OR('Inventaire M'!D129="Dispo/Liquidité Investie",'Inventaire M'!D129="Option/Future",'Inventaire M'!D129="TCN",'Inventaire M'!D129=""),"-",'Inventaire M'!B129)</f>
        <v>GRUPO ANTOLIN IRAUSA SA 10.375 30/01/2030</v>
      </c>
      <c r="D351" s="175"/>
      <c r="E351" s="175" t="e">
        <f>IF(B351="-","",INDEX('Inventaire M'!$A$2:$AW$9305,MATCH(B351,'Inventaire M'!$A:$A,0)-1,MATCH("Cours EUR",'Inventaire M'!#REF!,0)))</f>
        <v>#REF!</v>
      </c>
      <c r="F351" s="175" t="str">
        <f>IF(B351="-","",IF(ISERROR(INDEX('Inventaire M-1'!$A$2:$AZ$9320,MATCH(B351,'Inventaire M-1'!$A:$A,0)-1,MATCH("Cours EUR",'Inventaire M-1'!#REF!,0))),"Buy",INDEX('Inventaire M-1'!$A$2:$AZ$9320,MATCH(B351,'Inventaire M-1'!$A:$A,0)-1,MATCH("Cours EUR",'Inventaire M-1'!#REF!,0))))</f>
        <v>Buy</v>
      </c>
      <c r="G351" s="175"/>
      <c r="H351" s="156" t="e">
        <f>IF(B351="-","",INDEX('Inventaire M'!$A$2:$AW$9305,MATCH(B351,'Inventaire M'!$A:$A,0)-1,MATCH("quantite",'Inventaire M'!#REF!,0)))</f>
        <v>#REF!</v>
      </c>
      <c r="I351" s="156" t="str">
        <f>IF(C351="-","",IF(ISERROR(INDEX('Inventaire M-1'!$A$2:$AZ$9320,MATCH(B351,'Inventaire M-1'!$A:$A,0)-1,MATCH("quantite",'Inventaire M-1'!#REF!,0))),"Buy",INDEX('Inventaire M-1'!$A$2:$AZ$9320,MATCH(B351,'Inventaire M-1'!$A:$A,0)-1,MATCH("quantite",'Inventaire M-1'!#REF!,0))))</f>
        <v>Buy</v>
      </c>
      <c r="J351" s="175"/>
      <c r="K351" s="155" t="e">
        <f>IF(B351="-","",INDEX('Inventaire M'!$A$2:$AW$9305,MATCH(B351,'Inventaire M'!$A:$A,0)-1,MATCH("poids",'Inventaire M'!#REF!,0)))</f>
        <v>#REF!</v>
      </c>
      <c r="L351" s="155" t="str">
        <f>IF(B351="-","",IF(ISERROR(INDEX('Inventaire M-1'!$A$2:$AZ$9320,MATCH(B351,'Inventaire M-1'!$A:$A,0)-1,MATCH("poids",'Inventaire M-1'!#REF!,0))),"Buy",INDEX('Inventaire M-1'!$A$2:$AZ$9320,MATCH(B351,'Inventaire M-1'!$A:$A,0)-1,MATCH("poids",'Inventaire M-1'!#REF!,0))))</f>
        <v>Buy</v>
      </c>
      <c r="M351" s="175"/>
      <c r="N351" s="157" t="str">
        <f t="shared" si="36"/>
        <v>0</v>
      </c>
      <c r="O351" s="98" t="str">
        <f t="shared" si="37"/>
        <v/>
      </c>
      <c r="P351" s="80" t="str">
        <f t="shared" si="38"/>
        <v>GRUPO ANTOLIN IRAUSA SA 10.375 30/01/2030</v>
      </c>
      <c r="Q351" s="75">
        <v>3.2700000000000002E-8</v>
      </c>
      <c r="R351" s="175" t="str">
        <f>IF(OR('Inventaire M-1'!D104="Dispo/Liquidité Investie",'Inventaire M-1'!D104="Option/Future",'Inventaire M-1'!D104="TCN",'Inventaire M-1'!D104=""),"-",'Inventaire M-1'!A104)</f>
        <v>XS2794589403</v>
      </c>
      <c r="S351" s="175" t="str">
        <f>IF(OR('Inventaire M-1'!D104="Dispo/Liquidité Investie",'Inventaire M-1'!D104="Option/Future",'Inventaire M-1'!D104="TCN",'Inventaire M-1'!D104=""),"-",'Inventaire M-1'!B104)</f>
        <v>BRITISH TELECOMMUNICATIONS PLC 03/10/2054</v>
      </c>
      <c r="T351" s="175"/>
      <c r="U351" s="175" t="e">
        <f>IF(R351="-","",INDEX('Inventaire M-1'!$A$2:$AG$9334,MATCH(R351,'Inventaire M-1'!$A:$A,0)-1,MATCH("Cours EUR",'Inventaire M-1'!#REF!,0)))</f>
        <v>#REF!</v>
      </c>
      <c r="V351" s="175" t="str">
        <f>IF(R351="-","",IF(ISERROR(INDEX('Inventaire M'!$A$2:$AD$9319,MATCH(R351,'Inventaire M'!$A:$A,0)-1,MATCH("Cours EUR",'Inventaire M'!#REF!,0))),"Sell",INDEX('Inventaire M'!$A$2:$AD$9319,MATCH(R351,'Inventaire M'!$A:$A,0)-1,MATCH("Cours EUR",'Inventaire M'!#REF!,0))))</f>
        <v>Sell</v>
      </c>
      <c r="W351" s="175"/>
      <c r="X351" s="156" t="e">
        <f>IF(R351="-","",INDEX('Inventaire M-1'!$A$2:$AG$9334,MATCH(R351,'Inventaire M-1'!$A:$A,0)-1,MATCH("quantite",'Inventaire M-1'!#REF!,0)))</f>
        <v>#REF!</v>
      </c>
      <c r="Y351" s="156" t="str">
        <f>IF(S351="-","",IF(ISERROR(INDEX('Inventaire M'!$A$2:$AD$9319,MATCH(R351,'Inventaire M'!$A:$A,0)-1,MATCH("quantite",'Inventaire M'!#REF!,0))),"Sell",INDEX('Inventaire M'!$A$2:$AD$9319,MATCH(R351,'Inventaire M'!$A:$A,0)-1,MATCH("quantite",'Inventaire M'!#REF!,0))))</f>
        <v>Sell</v>
      </c>
      <c r="Z351" s="175"/>
      <c r="AA351" s="155" t="e">
        <f>IF(R351="-","",INDEX('Inventaire M-1'!$A$2:$AG$9334,MATCH(R351,'Inventaire M-1'!$A:$A,0)-1,MATCH("poids",'Inventaire M-1'!#REF!,0)))</f>
        <v>#REF!</v>
      </c>
      <c r="AB351" s="155" t="str">
        <f>IF(R351="-","",IF(ISERROR(INDEX('Inventaire M'!$A$2:$AD$9319,MATCH(R351,'Inventaire M'!$A:$A,0)-1,MATCH("poids",'Inventaire M'!#REF!,0))),"Sell",INDEX('Inventaire M'!$A$2:$AD$9319,MATCH(R351,'Inventaire M'!$A:$A,0)-1,MATCH("poids",'Inventaire M'!#REF!,0))))</f>
        <v>Sell</v>
      </c>
      <c r="AC351" s="175"/>
      <c r="AD351" s="157" t="str">
        <f t="shared" si="39"/>
        <v>0</v>
      </c>
      <c r="AE351" s="98" t="str">
        <f t="shared" si="40"/>
        <v/>
      </c>
      <c r="AF351" s="80" t="str">
        <f t="shared" si="41"/>
        <v>BRITISH TELECOMMUNICATIONS PLC 03/10/2054</v>
      </c>
    </row>
    <row r="352" spans="2:32" outlineLevel="1">
      <c r="B352" s="175" t="str">
        <f>IF(OR('Inventaire M'!D130="Dispo/Liquidité Investie",'Inventaire M'!D130="Option/Future",'Inventaire M'!D130="TCN",'Inventaire M'!D130=""),"-",'Inventaire M'!A130)</f>
        <v>XS2895496680</v>
      </c>
      <c r="C352" s="175" t="str">
        <f>IF(OR('Inventaire M'!D130="Dispo/Liquidité Investie",'Inventaire M'!D130="Option/Future",'Inventaire M'!D130="TCN",'Inventaire M'!D130=""),"-",'Inventaire M'!B130)</f>
        <v>SECHE ENVIRONNEMENT SA 4.5 25/03/2030</v>
      </c>
      <c r="D352" s="175"/>
      <c r="E352" s="175" t="e">
        <f>IF(B352="-","",INDEX('Inventaire M'!$A$2:$AW$9305,MATCH(B352,'Inventaire M'!$A:$A,0)-1,MATCH("Cours EUR",'Inventaire M'!#REF!,0)))</f>
        <v>#REF!</v>
      </c>
      <c r="F352" s="175" t="str">
        <f>IF(B352="-","",IF(ISERROR(INDEX('Inventaire M-1'!$A$2:$AZ$9320,MATCH(B352,'Inventaire M-1'!$A:$A,0)-1,MATCH("Cours EUR",'Inventaire M-1'!#REF!,0))),"Buy",INDEX('Inventaire M-1'!$A$2:$AZ$9320,MATCH(B352,'Inventaire M-1'!$A:$A,0)-1,MATCH("Cours EUR",'Inventaire M-1'!#REF!,0))))</f>
        <v>Buy</v>
      </c>
      <c r="G352" s="175"/>
      <c r="H352" s="156" t="e">
        <f>IF(B352="-","",INDEX('Inventaire M'!$A$2:$AW$9305,MATCH(B352,'Inventaire M'!$A:$A,0)-1,MATCH("quantite",'Inventaire M'!#REF!,0)))</f>
        <v>#REF!</v>
      </c>
      <c r="I352" s="156" t="str">
        <f>IF(C352="-","",IF(ISERROR(INDEX('Inventaire M-1'!$A$2:$AZ$9320,MATCH(B352,'Inventaire M-1'!$A:$A,0)-1,MATCH("quantite",'Inventaire M-1'!#REF!,0))),"Buy",INDEX('Inventaire M-1'!$A$2:$AZ$9320,MATCH(B352,'Inventaire M-1'!$A:$A,0)-1,MATCH("quantite",'Inventaire M-1'!#REF!,0))))</f>
        <v>Buy</v>
      </c>
      <c r="J352" s="175"/>
      <c r="K352" s="155" t="e">
        <f>IF(B352="-","",INDEX('Inventaire M'!$A$2:$AW$9305,MATCH(B352,'Inventaire M'!$A:$A,0)-1,MATCH("poids",'Inventaire M'!#REF!,0)))</f>
        <v>#REF!</v>
      </c>
      <c r="L352" s="155" t="str">
        <f>IF(B352="-","",IF(ISERROR(INDEX('Inventaire M-1'!$A$2:$AZ$9320,MATCH(B352,'Inventaire M-1'!$A:$A,0)-1,MATCH("poids",'Inventaire M-1'!#REF!,0))),"Buy",INDEX('Inventaire M-1'!$A$2:$AZ$9320,MATCH(B352,'Inventaire M-1'!$A:$A,0)-1,MATCH("poids",'Inventaire M-1'!#REF!,0))))</f>
        <v>Buy</v>
      </c>
      <c r="M352" s="175"/>
      <c r="N352" s="157" t="str">
        <f t="shared" si="36"/>
        <v>0</v>
      </c>
      <c r="O352" s="98" t="str">
        <f t="shared" si="37"/>
        <v/>
      </c>
      <c r="P352" s="80" t="str">
        <f t="shared" si="38"/>
        <v>SECHE ENVIRONNEMENT SA 4.5 25/03/2030</v>
      </c>
      <c r="Q352" s="75">
        <v>3.2800000000000003E-8</v>
      </c>
      <c r="R352" s="175" t="str">
        <f>IF(OR('Inventaire M-1'!D105="Dispo/Liquidité Investie",'Inventaire M-1'!D105="Option/Future",'Inventaire M-1'!D105="TCN",'Inventaire M-1'!D105=""),"-",'Inventaire M-1'!A105)</f>
        <v>XS2796600307</v>
      </c>
      <c r="S352" s="175" t="str">
        <f>IF(OR('Inventaire M-1'!D105="Dispo/Liquidité Investie",'Inventaire M-1'!D105="Option/Future",'Inventaire M-1'!D105="TCN",'Inventaire M-1'!D105=""),"-",'Inventaire M-1'!B105)</f>
        <v>VMED O2 UK FINANCING I PLC 5.625 15/04/2032</v>
      </c>
      <c r="T352" s="175"/>
      <c r="U352" s="175" t="e">
        <f>IF(R352="-","",INDEX('Inventaire M-1'!$A$2:$AG$9334,MATCH(R352,'Inventaire M-1'!$A:$A,0)-1,MATCH("Cours EUR",'Inventaire M-1'!#REF!,0)))</f>
        <v>#REF!</v>
      </c>
      <c r="V352" s="175" t="str">
        <f>IF(R352="-","",IF(ISERROR(INDEX('Inventaire M'!$A$2:$AD$9319,MATCH(R352,'Inventaire M'!$A:$A,0)-1,MATCH("Cours EUR",'Inventaire M'!#REF!,0))),"Sell",INDEX('Inventaire M'!$A$2:$AD$9319,MATCH(R352,'Inventaire M'!$A:$A,0)-1,MATCH("Cours EUR",'Inventaire M'!#REF!,0))))</f>
        <v>Sell</v>
      </c>
      <c r="W352" s="175"/>
      <c r="X352" s="156" t="e">
        <f>IF(R352="-","",INDEX('Inventaire M-1'!$A$2:$AG$9334,MATCH(R352,'Inventaire M-1'!$A:$A,0)-1,MATCH("quantite",'Inventaire M-1'!#REF!,0)))</f>
        <v>#REF!</v>
      </c>
      <c r="Y352" s="156" t="str">
        <f>IF(S352="-","",IF(ISERROR(INDEX('Inventaire M'!$A$2:$AD$9319,MATCH(R352,'Inventaire M'!$A:$A,0)-1,MATCH("quantite",'Inventaire M'!#REF!,0))),"Sell",INDEX('Inventaire M'!$A$2:$AD$9319,MATCH(R352,'Inventaire M'!$A:$A,0)-1,MATCH("quantite",'Inventaire M'!#REF!,0))))</f>
        <v>Sell</v>
      </c>
      <c r="Z352" s="175"/>
      <c r="AA352" s="155" t="e">
        <f>IF(R352="-","",INDEX('Inventaire M-1'!$A$2:$AG$9334,MATCH(R352,'Inventaire M-1'!$A:$A,0)-1,MATCH("poids",'Inventaire M-1'!#REF!,0)))</f>
        <v>#REF!</v>
      </c>
      <c r="AB352" s="155" t="str">
        <f>IF(R352="-","",IF(ISERROR(INDEX('Inventaire M'!$A$2:$AD$9319,MATCH(R352,'Inventaire M'!$A:$A,0)-1,MATCH("poids",'Inventaire M'!#REF!,0))),"Sell",INDEX('Inventaire M'!$A$2:$AD$9319,MATCH(R352,'Inventaire M'!$A:$A,0)-1,MATCH("poids",'Inventaire M'!#REF!,0))))</f>
        <v>Sell</v>
      </c>
      <c r="AC352" s="175"/>
      <c r="AD352" s="157" t="str">
        <f t="shared" si="39"/>
        <v>0</v>
      </c>
      <c r="AE352" s="98" t="str">
        <f t="shared" si="40"/>
        <v/>
      </c>
      <c r="AF352" s="80" t="str">
        <f t="shared" si="41"/>
        <v>VMED O2 UK FINANCING I PLC 5.625 15/04/2032</v>
      </c>
    </row>
    <row r="353" spans="2:32" outlineLevel="1">
      <c r="B353" s="175" t="str">
        <f>IF(OR('Inventaire M'!D131="Dispo/Liquidité Investie",'Inventaire M'!D131="Option/Future",'Inventaire M'!D131="TCN",'Inventaire M'!D131=""),"-",'Inventaire M'!A131)</f>
        <v>XS2899636935</v>
      </c>
      <c r="C353" s="175" t="str">
        <f>IF(OR('Inventaire M'!D131="Dispo/Liquidité Investie",'Inventaire M'!D131="Option/Future",'Inventaire M'!D131="TCN",'Inventaire M'!D131=""),"-",'Inventaire M'!B131)</f>
        <v>SES SA 12/09/2054</v>
      </c>
      <c r="D353" s="175"/>
      <c r="E353" s="175" t="e">
        <f>IF(B353="-","",INDEX('Inventaire M'!$A$2:$AW$9305,MATCH(B353,'Inventaire M'!$A:$A,0)-1,MATCH("Cours EUR",'Inventaire M'!#REF!,0)))</f>
        <v>#REF!</v>
      </c>
      <c r="F353" s="175" t="str">
        <f>IF(B353="-","",IF(ISERROR(INDEX('Inventaire M-1'!$A$2:$AZ$9320,MATCH(B353,'Inventaire M-1'!$A:$A,0)-1,MATCH("Cours EUR",'Inventaire M-1'!#REF!,0))),"Buy",INDEX('Inventaire M-1'!$A$2:$AZ$9320,MATCH(B353,'Inventaire M-1'!$A:$A,0)-1,MATCH("Cours EUR",'Inventaire M-1'!#REF!,0))))</f>
        <v>Buy</v>
      </c>
      <c r="G353" s="175"/>
      <c r="H353" s="156" t="e">
        <f>IF(B353="-","",INDEX('Inventaire M'!$A$2:$AW$9305,MATCH(B353,'Inventaire M'!$A:$A,0)-1,MATCH("quantite",'Inventaire M'!#REF!,0)))</f>
        <v>#REF!</v>
      </c>
      <c r="I353" s="156" t="str">
        <f>IF(C353="-","",IF(ISERROR(INDEX('Inventaire M-1'!$A$2:$AZ$9320,MATCH(B353,'Inventaire M-1'!$A:$A,0)-1,MATCH("quantite",'Inventaire M-1'!#REF!,0))),"Buy",INDEX('Inventaire M-1'!$A$2:$AZ$9320,MATCH(B353,'Inventaire M-1'!$A:$A,0)-1,MATCH("quantite",'Inventaire M-1'!#REF!,0))))</f>
        <v>Buy</v>
      </c>
      <c r="J353" s="175"/>
      <c r="K353" s="155" t="e">
        <f>IF(B353="-","",INDEX('Inventaire M'!$A$2:$AW$9305,MATCH(B353,'Inventaire M'!$A:$A,0)-1,MATCH("poids",'Inventaire M'!#REF!,0)))</f>
        <v>#REF!</v>
      </c>
      <c r="L353" s="155" t="str">
        <f>IF(B353="-","",IF(ISERROR(INDEX('Inventaire M-1'!$A$2:$AZ$9320,MATCH(B353,'Inventaire M-1'!$A:$A,0)-1,MATCH("poids",'Inventaire M-1'!#REF!,0))),"Buy",INDEX('Inventaire M-1'!$A$2:$AZ$9320,MATCH(B353,'Inventaire M-1'!$A:$A,0)-1,MATCH("poids",'Inventaire M-1'!#REF!,0))))</f>
        <v>Buy</v>
      </c>
      <c r="M353" s="175"/>
      <c r="N353" s="157" t="str">
        <f t="shared" si="36"/>
        <v>0</v>
      </c>
      <c r="O353" s="98" t="str">
        <f t="shared" si="37"/>
        <v/>
      </c>
      <c r="P353" s="80" t="str">
        <f t="shared" si="38"/>
        <v>SES SA 12/09/2054</v>
      </c>
      <c r="Q353" s="75">
        <v>3.2899999999999997E-8</v>
      </c>
      <c r="R353" s="175" t="str">
        <f>IF(OR('Inventaire M-1'!D106="Dispo/Liquidité Investie",'Inventaire M-1'!D106="Option/Future",'Inventaire M-1'!D106="TCN",'Inventaire M-1'!D106=""),"-",'Inventaire M-1'!A106)</f>
        <v>XS2796660384</v>
      </c>
      <c r="S353" s="175" t="str">
        <f>IF(OR('Inventaire M-1'!D106="Dispo/Liquidité Investie",'Inventaire M-1'!D106="Option/Future",'Inventaire M-1'!D106="TCN",'Inventaire M-1'!D106=""),"-",'Inventaire M-1'!B106)</f>
        <v>EUTELSAT SA 9.75 13/04/2029</v>
      </c>
      <c r="T353" s="175"/>
      <c r="U353" s="175" t="e">
        <f>IF(R353="-","",INDEX('Inventaire M-1'!$A$2:$AG$9334,MATCH(R353,'Inventaire M-1'!$A:$A,0)-1,MATCH("Cours EUR",'Inventaire M-1'!#REF!,0)))</f>
        <v>#REF!</v>
      </c>
      <c r="V353" s="175" t="str">
        <f>IF(R353="-","",IF(ISERROR(INDEX('Inventaire M'!$A$2:$AD$9319,MATCH(R353,'Inventaire M'!$A:$A,0)-1,MATCH("Cours EUR",'Inventaire M'!#REF!,0))),"Sell",INDEX('Inventaire M'!$A$2:$AD$9319,MATCH(R353,'Inventaire M'!$A:$A,0)-1,MATCH("Cours EUR",'Inventaire M'!#REF!,0))))</f>
        <v>Sell</v>
      </c>
      <c r="W353" s="175"/>
      <c r="X353" s="156" t="e">
        <f>IF(R353="-","",INDEX('Inventaire M-1'!$A$2:$AG$9334,MATCH(R353,'Inventaire M-1'!$A:$A,0)-1,MATCH("quantite",'Inventaire M-1'!#REF!,0)))</f>
        <v>#REF!</v>
      </c>
      <c r="Y353" s="156" t="str">
        <f>IF(S353="-","",IF(ISERROR(INDEX('Inventaire M'!$A$2:$AD$9319,MATCH(R353,'Inventaire M'!$A:$A,0)-1,MATCH("quantite",'Inventaire M'!#REF!,0))),"Sell",INDEX('Inventaire M'!$A$2:$AD$9319,MATCH(R353,'Inventaire M'!$A:$A,0)-1,MATCH("quantite",'Inventaire M'!#REF!,0))))</f>
        <v>Sell</v>
      </c>
      <c r="Z353" s="175"/>
      <c r="AA353" s="155" t="e">
        <f>IF(R353="-","",INDEX('Inventaire M-1'!$A$2:$AG$9334,MATCH(R353,'Inventaire M-1'!$A:$A,0)-1,MATCH("poids",'Inventaire M-1'!#REF!,0)))</f>
        <v>#REF!</v>
      </c>
      <c r="AB353" s="155" t="str">
        <f>IF(R353="-","",IF(ISERROR(INDEX('Inventaire M'!$A$2:$AD$9319,MATCH(R353,'Inventaire M'!$A:$A,0)-1,MATCH("poids",'Inventaire M'!#REF!,0))),"Sell",INDEX('Inventaire M'!$A$2:$AD$9319,MATCH(R353,'Inventaire M'!$A:$A,0)-1,MATCH("poids",'Inventaire M'!#REF!,0))))</f>
        <v>Sell</v>
      </c>
      <c r="AC353" s="175"/>
      <c r="AD353" s="157" t="str">
        <f t="shared" si="39"/>
        <v>0</v>
      </c>
      <c r="AE353" s="98" t="str">
        <f t="shared" si="40"/>
        <v/>
      </c>
      <c r="AF353" s="80" t="str">
        <f t="shared" si="41"/>
        <v>EUTELSAT SA 9.75 13/04/2029</v>
      </c>
    </row>
    <row r="354" spans="2:32" outlineLevel="1">
      <c r="B354" s="175" t="str">
        <f>IF(OR('Inventaire M'!D132="Dispo/Liquidité Investie",'Inventaire M'!D132="Option/Future",'Inventaire M'!D132="TCN",'Inventaire M'!D132=""),"-",'Inventaire M'!A132)</f>
        <v>XS2903463987</v>
      </c>
      <c r="C354" s="175" t="str">
        <f>IF(OR('Inventaire M'!D132="Dispo/Liquidité Investie",'Inventaire M'!D132="Option/Future",'Inventaire M'!D132="TCN",'Inventaire M'!D132=""),"-",'Inventaire M'!B132)</f>
        <v>PERRIGO FINANCE UNLIMITED CO 5.375 30/09/2032</v>
      </c>
      <c r="D354" s="175"/>
      <c r="E354" s="175" t="e">
        <f>IF(B354="-","",INDEX('Inventaire M'!$A$2:$AW$9305,MATCH(B354,'Inventaire M'!$A:$A,0)-1,MATCH("Cours EUR",'Inventaire M'!#REF!,0)))</f>
        <v>#REF!</v>
      </c>
      <c r="F354" s="175" t="str">
        <f>IF(B354="-","",IF(ISERROR(INDEX('Inventaire M-1'!$A$2:$AZ$9320,MATCH(B354,'Inventaire M-1'!$A:$A,0)-1,MATCH("Cours EUR",'Inventaire M-1'!#REF!,0))),"Buy",INDEX('Inventaire M-1'!$A$2:$AZ$9320,MATCH(B354,'Inventaire M-1'!$A:$A,0)-1,MATCH("Cours EUR",'Inventaire M-1'!#REF!,0))))</f>
        <v>Buy</v>
      </c>
      <c r="G354" s="175"/>
      <c r="H354" s="156" t="e">
        <f>IF(B354="-","",INDEX('Inventaire M'!$A$2:$AW$9305,MATCH(B354,'Inventaire M'!$A:$A,0)-1,MATCH("quantite",'Inventaire M'!#REF!,0)))</f>
        <v>#REF!</v>
      </c>
      <c r="I354" s="156" t="str">
        <f>IF(C354="-","",IF(ISERROR(INDEX('Inventaire M-1'!$A$2:$AZ$9320,MATCH(B354,'Inventaire M-1'!$A:$A,0)-1,MATCH("quantite",'Inventaire M-1'!#REF!,0))),"Buy",INDEX('Inventaire M-1'!$A$2:$AZ$9320,MATCH(B354,'Inventaire M-1'!$A:$A,0)-1,MATCH("quantite",'Inventaire M-1'!#REF!,0))))</f>
        <v>Buy</v>
      </c>
      <c r="J354" s="175"/>
      <c r="K354" s="155" t="e">
        <f>IF(B354="-","",INDEX('Inventaire M'!$A$2:$AW$9305,MATCH(B354,'Inventaire M'!$A:$A,0)-1,MATCH("poids",'Inventaire M'!#REF!,0)))</f>
        <v>#REF!</v>
      </c>
      <c r="L354" s="155" t="str">
        <f>IF(B354="-","",IF(ISERROR(INDEX('Inventaire M-1'!$A$2:$AZ$9320,MATCH(B354,'Inventaire M-1'!$A:$A,0)-1,MATCH("poids",'Inventaire M-1'!#REF!,0))),"Buy",INDEX('Inventaire M-1'!$A$2:$AZ$9320,MATCH(B354,'Inventaire M-1'!$A:$A,0)-1,MATCH("poids",'Inventaire M-1'!#REF!,0))))</f>
        <v>Buy</v>
      </c>
      <c r="M354" s="175"/>
      <c r="N354" s="157" t="str">
        <f t="shared" si="36"/>
        <v>0</v>
      </c>
      <c r="O354" s="98" t="str">
        <f t="shared" si="37"/>
        <v/>
      </c>
      <c r="P354" s="80" t="str">
        <f t="shared" si="38"/>
        <v>PERRIGO FINANCE UNLIMITED CO 5.375 30/09/2032</v>
      </c>
      <c r="Q354" s="75">
        <v>3.2999999999999998E-8</v>
      </c>
      <c r="R354" s="175" t="str">
        <f>IF(OR('Inventaire M-1'!D107="Dispo/Liquidité Investie",'Inventaire M-1'!D107="Option/Future",'Inventaire M-1'!D107="TCN",'Inventaire M-1'!D107=""),"-",'Inventaire M-1'!A107)</f>
        <v>XS2797353401</v>
      </c>
      <c r="S354" s="175" t="str">
        <f>IF(OR('Inventaire M-1'!D107="Dispo/Liquidité Investie",'Inventaire M-1'!D107="Option/Future",'Inventaire M-1'!D107="TCN",'Inventaire M-1'!D107=""),"-",'Inventaire M-1'!B107)</f>
        <v>NEOPHARMED GENTILI SPA 7.125 08/04/2030</v>
      </c>
      <c r="T354" s="175"/>
      <c r="U354" s="175" t="e">
        <f>IF(R354="-","",INDEX('Inventaire M-1'!$A$2:$AG$9334,MATCH(R354,'Inventaire M-1'!$A:$A,0)-1,MATCH("Cours EUR",'Inventaire M-1'!#REF!,0)))</f>
        <v>#REF!</v>
      </c>
      <c r="V354" s="175" t="str">
        <f>IF(R354="-","",IF(ISERROR(INDEX('Inventaire M'!$A$2:$AD$9319,MATCH(R354,'Inventaire M'!$A:$A,0)-1,MATCH("Cours EUR",'Inventaire M'!#REF!,0))),"Sell",INDEX('Inventaire M'!$A$2:$AD$9319,MATCH(R354,'Inventaire M'!$A:$A,0)-1,MATCH("Cours EUR",'Inventaire M'!#REF!,0))))</f>
        <v>Sell</v>
      </c>
      <c r="W354" s="175"/>
      <c r="X354" s="156" t="e">
        <f>IF(R354="-","",INDEX('Inventaire M-1'!$A$2:$AG$9334,MATCH(R354,'Inventaire M-1'!$A:$A,0)-1,MATCH("quantite",'Inventaire M-1'!#REF!,0)))</f>
        <v>#REF!</v>
      </c>
      <c r="Y354" s="156" t="str">
        <f>IF(S354="-","",IF(ISERROR(INDEX('Inventaire M'!$A$2:$AD$9319,MATCH(R354,'Inventaire M'!$A:$A,0)-1,MATCH("quantite",'Inventaire M'!#REF!,0))),"Sell",INDEX('Inventaire M'!$A$2:$AD$9319,MATCH(R354,'Inventaire M'!$A:$A,0)-1,MATCH("quantite",'Inventaire M'!#REF!,0))))</f>
        <v>Sell</v>
      </c>
      <c r="Z354" s="175"/>
      <c r="AA354" s="155" t="e">
        <f>IF(R354="-","",INDEX('Inventaire M-1'!$A$2:$AG$9334,MATCH(R354,'Inventaire M-1'!$A:$A,0)-1,MATCH("poids",'Inventaire M-1'!#REF!,0)))</f>
        <v>#REF!</v>
      </c>
      <c r="AB354" s="155" t="str">
        <f>IF(R354="-","",IF(ISERROR(INDEX('Inventaire M'!$A$2:$AD$9319,MATCH(R354,'Inventaire M'!$A:$A,0)-1,MATCH("poids",'Inventaire M'!#REF!,0))),"Sell",INDEX('Inventaire M'!$A$2:$AD$9319,MATCH(R354,'Inventaire M'!$A:$A,0)-1,MATCH("poids",'Inventaire M'!#REF!,0))))</f>
        <v>Sell</v>
      </c>
      <c r="AC354" s="175"/>
      <c r="AD354" s="157" t="str">
        <f t="shared" si="39"/>
        <v>0</v>
      </c>
      <c r="AE354" s="98" t="str">
        <f t="shared" si="40"/>
        <v/>
      </c>
      <c r="AF354" s="80" t="str">
        <f t="shared" si="41"/>
        <v>NEOPHARMED GENTILI SPA 7.125 08/04/2030</v>
      </c>
    </row>
    <row r="355" spans="2:32" outlineLevel="1">
      <c r="B355" s="175" t="str">
        <f>IF(OR('Inventaire M'!D133="Dispo/Liquidité Investie",'Inventaire M'!D133="Option/Future",'Inventaire M'!D133="TCN",'Inventaire M'!D133=""),"-",'Inventaire M'!A133)</f>
        <v>XS2904660755</v>
      </c>
      <c r="C355" s="175" t="str">
        <f>IF(OR('Inventaire M'!D133="Dispo/Liquidité Investie",'Inventaire M'!D133="Option/Future",'Inventaire M'!D133="TCN",'Inventaire M'!D133=""),"-",'Inventaire M'!B133)</f>
        <v>CESAR SPA 6.5 30/09/2031</v>
      </c>
      <c r="D355" s="175"/>
      <c r="E355" s="175" t="e">
        <f>IF(B355="-","",INDEX('Inventaire M'!$A$2:$AW$9305,MATCH(B355,'Inventaire M'!$A:$A,0)-1,MATCH("Cours EUR",'Inventaire M'!#REF!,0)))</f>
        <v>#REF!</v>
      </c>
      <c r="F355" s="175" t="str">
        <f>IF(B355="-","",IF(ISERROR(INDEX('Inventaire M-1'!$A$2:$AZ$9320,MATCH(B355,'Inventaire M-1'!$A:$A,0)-1,MATCH("Cours EUR",'Inventaire M-1'!#REF!,0))),"Buy",INDEX('Inventaire M-1'!$A$2:$AZ$9320,MATCH(B355,'Inventaire M-1'!$A:$A,0)-1,MATCH("Cours EUR",'Inventaire M-1'!#REF!,0))))</f>
        <v>Buy</v>
      </c>
      <c r="G355" s="175"/>
      <c r="H355" s="156" t="e">
        <f>IF(B355="-","",INDEX('Inventaire M'!$A$2:$AW$9305,MATCH(B355,'Inventaire M'!$A:$A,0)-1,MATCH("quantite",'Inventaire M'!#REF!,0)))</f>
        <v>#REF!</v>
      </c>
      <c r="I355" s="156" t="str">
        <f>IF(C355="-","",IF(ISERROR(INDEX('Inventaire M-1'!$A$2:$AZ$9320,MATCH(B355,'Inventaire M-1'!$A:$A,0)-1,MATCH("quantite",'Inventaire M-1'!#REF!,0))),"Buy",INDEX('Inventaire M-1'!$A$2:$AZ$9320,MATCH(B355,'Inventaire M-1'!$A:$A,0)-1,MATCH("quantite",'Inventaire M-1'!#REF!,0))))</f>
        <v>Buy</v>
      </c>
      <c r="J355" s="175"/>
      <c r="K355" s="155" t="e">
        <f>IF(B355="-","",INDEX('Inventaire M'!$A$2:$AW$9305,MATCH(B355,'Inventaire M'!$A:$A,0)-1,MATCH("poids",'Inventaire M'!#REF!,0)))</f>
        <v>#REF!</v>
      </c>
      <c r="L355" s="155" t="str">
        <f>IF(B355="-","",IF(ISERROR(INDEX('Inventaire M-1'!$A$2:$AZ$9320,MATCH(B355,'Inventaire M-1'!$A:$A,0)-1,MATCH("poids",'Inventaire M-1'!#REF!,0))),"Buy",INDEX('Inventaire M-1'!$A$2:$AZ$9320,MATCH(B355,'Inventaire M-1'!$A:$A,0)-1,MATCH("poids",'Inventaire M-1'!#REF!,0))))</f>
        <v>Buy</v>
      </c>
      <c r="M355" s="175"/>
      <c r="N355" s="157" t="str">
        <f t="shared" si="36"/>
        <v>0</v>
      </c>
      <c r="O355" s="98" t="str">
        <f t="shared" si="37"/>
        <v/>
      </c>
      <c r="P355" s="80" t="str">
        <f t="shared" si="38"/>
        <v>CESAR SPA 6.5 30/09/2031</v>
      </c>
      <c r="Q355" s="75">
        <v>3.3099999999999999E-8</v>
      </c>
      <c r="R355" s="175" t="str">
        <f>IF(OR('Inventaire M-1'!D108="Dispo/Liquidité Investie",'Inventaire M-1'!D108="Option/Future",'Inventaire M-1'!D108="TCN",'Inventaire M-1'!D108=""),"-",'Inventaire M-1'!A108)</f>
        <v>XS2799493825</v>
      </c>
      <c r="S355" s="175" t="str">
        <f>IF(OR('Inventaire M-1'!D108="Dispo/Liquidité Investie",'Inventaire M-1'!D108="Option/Future",'Inventaire M-1'!D108="TCN",'Inventaire M-1'!D108=""),"-",'Inventaire M-1'!B108)</f>
        <v>AROUNDTOWN FINANCE SARL PERP</v>
      </c>
      <c r="T355" s="175"/>
      <c r="U355" s="175" t="e">
        <f>IF(R355="-","",INDEX('Inventaire M-1'!$A$2:$AG$9334,MATCH(R355,'Inventaire M-1'!$A:$A,0)-1,MATCH("Cours EUR",'Inventaire M-1'!#REF!,0)))</f>
        <v>#REF!</v>
      </c>
      <c r="V355" s="175" t="str">
        <f>IF(R355="-","",IF(ISERROR(INDEX('Inventaire M'!$A$2:$AD$9319,MATCH(R355,'Inventaire M'!$A:$A,0)-1,MATCH("Cours EUR",'Inventaire M'!#REF!,0))),"Sell",INDEX('Inventaire M'!$A$2:$AD$9319,MATCH(R355,'Inventaire M'!$A:$A,0)-1,MATCH("Cours EUR",'Inventaire M'!#REF!,0))))</f>
        <v>Sell</v>
      </c>
      <c r="W355" s="175"/>
      <c r="X355" s="156" t="e">
        <f>IF(R355="-","",INDEX('Inventaire M-1'!$A$2:$AG$9334,MATCH(R355,'Inventaire M-1'!$A:$A,0)-1,MATCH("quantite",'Inventaire M-1'!#REF!,0)))</f>
        <v>#REF!</v>
      </c>
      <c r="Y355" s="156" t="str">
        <f>IF(S355="-","",IF(ISERROR(INDEX('Inventaire M'!$A$2:$AD$9319,MATCH(R355,'Inventaire M'!$A:$A,0)-1,MATCH("quantite",'Inventaire M'!#REF!,0))),"Sell",INDEX('Inventaire M'!$A$2:$AD$9319,MATCH(R355,'Inventaire M'!$A:$A,0)-1,MATCH("quantite",'Inventaire M'!#REF!,0))))</f>
        <v>Sell</v>
      </c>
      <c r="Z355" s="175"/>
      <c r="AA355" s="155" t="e">
        <f>IF(R355="-","",INDEX('Inventaire M-1'!$A$2:$AG$9334,MATCH(R355,'Inventaire M-1'!$A:$A,0)-1,MATCH("poids",'Inventaire M-1'!#REF!,0)))</f>
        <v>#REF!</v>
      </c>
      <c r="AB355" s="155" t="str">
        <f>IF(R355="-","",IF(ISERROR(INDEX('Inventaire M'!$A$2:$AD$9319,MATCH(R355,'Inventaire M'!$A:$A,0)-1,MATCH("poids",'Inventaire M'!#REF!,0))),"Sell",INDEX('Inventaire M'!$A$2:$AD$9319,MATCH(R355,'Inventaire M'!$A:$A,0)-1,MATCH("poids",'Inventaire M'!#REF!,0))))</f>
        <v>Sell</v>
      </c>
      <c r="AC355" s="175"/>
      <c r="AD355" s="157" t="str">
        <f t="shared" si="39"/>
        <v>0</v>
      </c>
      <c r="AE355" s="98" t="str">
        <f t="shared" si="40"/>
        <v/>
      </c>
      <c r="AF355" s="80" t="str">
        <f t="shared" si="41"/>
        <v>AROUNDTOWN FINANCE SARL PERP</v>
      </c>
    </row>
    <row r="356" spans="2:32" outlineLevel="1">
      <c r="B356" s="175" t="str">
        <f>IF(OR('Inventaire M'!D134="Dispo/Liquidité Investie",'Inventaire M'!D134="Option/Future",'Inventaire M'!D134="TCN",'Inventaire M'!D134=""),"-",'Inventaire M'!A134)</f>
        <v>XS2904791774</v>
      </c>
      <c r="C356" s="175" t="str">
        <f>IF(OR('Inventaire M'!D134="Dispo/Liquidité Investie",'Inventaire M'!D134="Option/Future",'Inventaire M'!D134="TCN",'Inventaire M'!D134=""),"-",'Inventaire M'!B134)</f>
        <v>CPI PROPERTY GROUP SA 6 27/01/2032</v>
      </c>
      <c r="D356" s="175"/>
      <c r="E356" s="175" t="e">
        <f>IF(B356="-","",INDEX('Inventaire M'!$A$2:$AW$9305,MATCH(B356,'Inventaire M'!$A:$A,0)-1,MATCH("Cours EUR",'Inventaire M'!#REF!,0)))</f>
        <v>#REF!</v>
      </c>
      <c r="F356" s="175" t="str">
        <f>IF(B356="-","",IF(ISERROR(INDEX('Inventaire M-1'!$A$2:$AZ$9320,MATCH(B356,'Inventaire M-1'!$A:$A,0)-1,MATCH("Cours EUR",'Inventaire M-1'!#REF!,0))),"Buy",INDEX('Inventaire M-1'!$A$2:$AZ$9320,MATCH(B356,'Inventaire M-1'!$A:$A,0)-1,MATCH("Cours EUR",'Inventaire M-1'!#REF!,0))))</f>
        <v>Buy</v>
      </c>
      <c r="G356" s="175"/>
      <c r="H356" s="156" t="e">
        <f>IF(B356="-","",INDEX('Inventaire M'!$A$2:$AW$9305,MATCH(B356,'Inventaire M'!$A:$A,0)-1,MATCH("quantite",'Inventaire M'!#REF!,0)))</f>
        <v>#REF!</v>
      </c>
      <c r="I356" s="156" t="str">
        <f>IF(C356="-","",IF(ISERROR(INDEX('Inventaire M-1'!$A$2:$AZ$9320,MATCH(B356,'Inventaire M-1'!$A:$A,0)-1,MATCH("quantite",'Inventaire M-1'!#REF!,0))),"Buy",INDEX('Inventaire M-1'!$A$2:$AZ$9320,MATCH(B356,'Inventaire M-1'!$A:$A,0)-1,MATCH("quantite",'Inventaire M-1'!#REF!,0))))</f>
        <v>Buy</v>
      </c>
      <c r="J356" s="175"/>
      <c r="K356" s="155" t="e">
        <f>IF(B356="-","",INDEX('Inventaire M'!$A$2:$AW$9305,MATCH(B356,'Inventaire M'!$A:$A,0)-1,MATCH("poids",'Inventaire M'!#REF!,0)))</f>
        <v>#REF!</v>
      </c>
      <c r="L356" s="155" t="str">
        <f>IF(B356="-","",IF(ISERROR(INDEX('Inventaire M-1'!$A$2:$AZ$9320,MATCH(B356,'Inventaire M-1'!$A:$A,0)-1,MATCH("poids",'Inventaire M-1'!#REF!,0))),"Buy",INDEX('Inventaire M-1'!$A$2:$AZ$9320,MATCH(B356,'Inventaire M-1'!$A:$A,0)-1,MATCH("poids",'Inventaire M-1'!#REF!,0))))</f>
        <v>Buy</v>
      </c>
      <c r="M356" s="175"/>
      <c r="N356" s="157" t="str">
        <f t="shared" si="36"/>
        <v>0</v>
      </c>
      <c r="O356" s="98" t="str">
        <f t="shared" si="37"/>
        <v/>
      </c>
      <c r="P356" s="80" t="str">
        <f t="shared" si="38"/>
        <v>CPI PROPERTY GROUP SA 6 27/01/2032</v>
      </c>
      <c r="Q356" s="75">
        <v>3.32E-8</v>
      </c>
      <c r="R356" s="175" t="str">
        <f>IF(OR('Inventaire M-1'!D109="Dispo/Liquidité Investie",'Inventaire M-1'!D109="Option/Future",'Inventaire M-1'!D109="TCN",'Inventaire M-1'!D109=""),"-",'Inventaire M-1'!A109)</f>
        <v>XS2800001914</v>
      </c>
      <c r="S356" s="175" t="str">
        <f>IF(OR('Inventaire M-1'!D109="Dispo/Liquidité Investie",'Inventaire M-1'!D109="Option/Future",'Inventaire M-1'!D109="TCN",'Inventaire M-1'!D109=""),"-",'Inventaire M-1'!B109)</f>
        <v>ALEXANDRITE MONNET UK HOLDCO PLC 10.5 15/05/2029</v>
      </c>
      <c r="T356" s="175"/>
      <c r="U356" s="175" t="e">
        <f>IF(R356="-","",INDEX('Inventaire M-1'!$A$2:$AG$9334,MATCH(R356,'Inventaire M-1'!$A:$A,0)-1,MATCH("Cours EUR",'Inventaire M-1'!#REF!,0)))</f>
        <v>#REF!</v>
      </c>
      <c r="V356" s="175" t="str">
        <f>IF(R356="-","",IF(ISERROR(INDEX('Inventaire M'!$A$2:$AD$9319,MATCH(R356,'Inventaire M'!$A:$A,0)-1,MATCH("Cours EUR",'Inventaire M'!#REF!,0))),"Sell",INDEX('Inventaire M'!$A$2:$AD$9319,MATCH(R356,'Inventaire M'!$A:$A,0)-1,MATCH("Cours EUR",'Inventaire M'!#REF!,0))))</f>
        <v>Sell</v>
      </c>
      <c r="W356" s="175"/>
      <c r="X356" s="156" t="e">
        <f>IF(R356="-","",INDEX('Inventaire M-1'!$A$2:$AG$9334,MATCH(R356,'Inventaire M-1'!$A:$A,0)-1,MATCH("quantite",'Inventaire M-1'!#REF!,0)))</f>
        <v>#REF!</v>
      </c>
      <c r="Y356" s="156" t="str">
        <f>IF(S356="-","",IF(ISERROR(INDEX('Inventaire M'!$A$2:$AD$9319,MATCH(R356,'Inventaire M'!$A:$A,0)-1,MATCH("quantite",'Inventaire M'!#REF!,0))),"Sell",INDEX('Inventaire M'!$A$2:$AD$9319,MATCH(R356,'Inventaire M'!$A:$A,0)-1,MATCH("quantite",'Inventaire M'!#REF!,0))))</f>
        <v>Sell</v>
      </c>
      <c r="Z356" s="175"/>
      <c r="AA356" s="155" t="e">
        <f>IF(R356="-","",INDEX('Inventaire M-1'!$A$2:$AG$9334,MATCH(R356,'Inventaire M-1'!$A:$A,0)-1,MATCH("poids",'Inventaire M-1'!#REF!,0)))</f>
        <v>#REF!</v>
      </c>
      <c r="AB356" s="155" t="str">
        <f>IF(R356="-","",IF(ISERROR(INDEX('Inventaire M'!$A$2:$AD$9319,MATCH(R356,'Inventaire M'!$A:$A,0)-1,MATCH("poids",'Inventaire M'!#REF!,0))),"Sell",INDEX('Inventaire M'!$A$2:$AD$9319,MATCH(R356,'Inventaire M'!$A:$A,0)-1,MATCH("poids",'Inventaire M'!#REF!,0))))</f>
        <v>Sell</v>
      </c>
      <c r="AC356" s="175"/>
      <c r="AD356" s="157" t="str">
        <f t="shared" si="39"/>
        <v>0</v>
      </c>
      <c r="AE356" s="98" t="str">
        <f t="shared" si="40"/>
        <v/>
      </c>
      <c r="AF356" s="80" t="str">
        <f t="shared" si="41"/>
        <v>ALEXANDRITE MONNET UK HOLDCO PLC 10.5 15/05/2029</v>
      </c>
    </row>
    <row r="357" spans="2:32" outlineLevel="1">
      <c r="B357" s="175" t="str">
        <f>IF(OR('Inventaire M'!D135="Dispo/Liquidité Investie",'Inventaire M'!D135="Option/Future",'Inventaire M'!D135="TCN",'Inventaire M'!D135=""),"-",'Inventaire M'!A135)</f>
        <v>XS2905386962</v>
      </c>
      <c r="C357" s="175" t="str">
        <f>IF(OR('Inventaire M'!D135="Dispo/Liquidité Investie",'Inventaire M'!D135="Option/Future",'Inventaire M'!D135="TCN",'Inventaire M'!D135=""),"-",'Inventaire M'!B135)</f>
        <v>IHO VERWALTUNGS GMBH 6.75 15/11/2029</v>
      </c>
      <c r="D357" s="175"/>
      <c r="E357" s="175" t="e">
        <f>IF(B357="-","",INDEX('Inventaire M'!$A$2:$AW$9305,MATCH(B357,'Inventaire M'!$A:$A,0)-1,MATCH("Cours EUR",'Inventaire M'!#REF!,0)))</f>
        <v>#REF!</v>
      </c>
      <c r="F357" s="175" t="str">
        <f>IF(B357="-","",IF(ISERROR(INDEX('Inventaire M-1'!$A$2:$AZ$9320,MATCH(B357,'Inventaire M-1'!$A:$A,0)-1,MATCH("Cours EUR",'Inventaire M-1'!#REF!,0))),"Buy",INDEX('Inventaire M-1'!$A$2:$AZ$9320,MATCH(B357,'Inventaire M-1'!$A:$A,0)-1,MATCH("Cours EUR",'Inventaire M-1'!#REF!,0))))</f>
        <v>Buy</v>
      </c>
      <c r="G357" s="175"/>
      <c r="H357" s="156" t="e">
        <f>IF(B357="-","",INDEX('Inventaire M'!$A$2:$AW$9305,MATCH(B357,'Inventaire M'!$A:$A,0)-1,MATCH("quantite",'Inventaire M'!#REF!,0)))</f>
        <v>#REF!</v>
      </c>
      <c r="I357" s="156" t="str">
        <f>IF(C357="-","",IF(ISERROR(INDEX('Inventaire M-1'!$A$2:$AZ$9320,MATCH(B357,'Inventaire M-1'!$A:$A,0)-1,MATCH("quantite",'Inventaire M-1'!#REF!,0))),"Buy",INDEX('Inventaire M-1'!$A$2:$AZ$9320,MATCH(B357,'Inventaire M-1'!$A:$A,0)-1,MATCH("quantite",'Inventaire M-1'!#REF!,0))))</f>
        <v>Buy</v>
      </c>
      <c r="J357" s="175"/>
      <c r="K357" s="155" t="e">
        <f>IF(B357="-","",INDEX('Inventaire M'!$A$2:$AW$9305,MATCH(B357,'Inventaire M'!$A:$A,0)-1,MATCH("poids",'Inventaire M'!#REF!,0)))</f>
        <v>#REF!</v>
      </c>
      <c r="L357" s="155" t="str">
        <f>IF(B357="-","",IF(ISERROR(INDEX('Inventaire M-1'!$A$2:$AZ$9320,MATCH(B357,'Inventaire M-1'!$A:$A,0)-1,MATCH("poids",'Inventaire M-1'!#REF!,0))),"Buy",INDEX('Inventaire M-1'!$A$2:$AZ$9320,MATCH(B357,'Inventaire M-1'!$A:$A,0)-1,MATCH("poids",'Inventaire M-1'!#REF!,0))))</f>
        <v>Buy</v>
      </c>
      <c r="M357" s="175"/>
      <c r="N357" s="157" t="str">
        <f t="shared" si="36"/>
        <v>0</v>
      </c>
      <c r="O357" s="98" t="str">
        <f t="shared" si="37"/>
        <v/>
      </c>
      <c r="P357" s="80" t="str">
        <f t="shared" si="38"/>
        <v>IHO VERWALTUNGS GMBH 6.75 15/11/2029</v>
      </c>
      <c r="Q357" s="75">
        <v>3.33E-8</v>
      </c>
      <c r="R357" s="175" t="str">
        <f>IF(OR('Inventaire M-1'!D110="Dispo/Liquidité Investie",'Inventaire M-1'!D110="Option/Future",'Inventaire M-1'!D110="TCN",'Inventaire M-1'!D110=""),"-",'Inventaire M-1'!A110)</f>
        <v>XS2804497506</v>
      </c>
      <c r="S357" s="175" t="str">
        <f>IF(OR('Inventaire M-1'!D110="Dispo/Liquidité Investie",'Inventaire M-1'!D110="Option/Future",'Inventaire M-1'!D110="TCN",'Inventaire M-1'!D110=""),"-",'Inventaire M-1'!B110)</f>
        <v>OPTICS BIDCO SPA 7.75 24/01/2033</v>
      </c>
      <c r="T357" s="175"/>
      <c r="U357" s="175" t="e">
        <f>IF(R357="-","",INDEX('Inventaire M-1'!$A$2:$AG$9334,MATCH(R357,'Inventaire M-1'!$A:$A,0)-1,MATCH("Cours EUR",'Inventaire M-1'!#REF!,0)))</f>
        <v>#REF!</v>
      </c>
      <c r="V357" s="175" t="str">
        <f>IF(R357="-","",IF(ISERROR(INDEX('Inventaire M'!$A$2:$AD$9319,MATCH(R357,'Inventaire M'!$A:$A,0)-1,MATCH("Cours EUR",'Inventaire M'!#REF!,0))),"Sell",INDEX('Inventaire M'!$A$2:$AD$9319,MATCH(R357,'Inventaire M'!$A:$A,0)-1,MATCH("Cours EUR",'Inventaire M'!#REF!,0))))</f>
        <v>Sell</v>
      </c>
      <c r="W357" s="175"/>
      <c r="X357" s="156" t="e">
        <f>IF(R357="-","",INDEX('Inventaire M-1'!$A$2:$AG$9334,MATCH(R357,'Inventaire M-1'!$A:$A,0)-1,MATCH("quantite",'Inventaire M-1'!#REF!,0)))</f>
        <v>#REF!</v>
      </c>
      <c r="Y357" s="156" t="str">
        <f>IF(S357="-","",IF(ISERROR(INDEX('Inventaire M'!$A$2:$AD$9319,MATCH(R357,'Inventaire M'!$A:$A,0)-1,MATCH("quantite",'Inventaire M'!#REF!,0))),"Sell",INDEX('Inventaire M'!$A$2:$AD$9319,MATCH(R357,'Inventaire M'!$A:$A,0)-1,MATCH("quantite",'Inventaire M'!#REF!,0))))</f>
        <v>Sell</v>
      </c>
      <c r="Z357" s="175"/>
      <c r="AA357" s="155" t="e">
        <f>IF(R357="-","",INDEX('Inventaire M-1'!$A$2:$AG$9334,MATCH(R357,'Inventaire M-1'!$A:$A,0)-1,MATCH("poids",'Inventaire M-1'!#REF!,0)))</f>
        <v>#REF!</v>
      </c>
      <c r="AB357" s="155" t="str">
        <f>IF(R357="-","",IF(ISERROR(INDEX('Inventaire M'!$A$2:$AD$9319,MATCH(R357,'Inventaire M'!$A:$A,0)-1,MATCH("poids",'Inventaire M'!#REF!,0))),"Sell",INDEX('Inventaire M'!$A$2:$AD$9319,MATCH(R357,'Inventaire M'!$A:$A,0)-1,MATCH("poids",'Inventaire M'!#REF!,0))))</f>
        <v>Sell</v>
      </c>
      <c r="AC357" s="175"/>
      <c r="AD357" s="157" t="str">
        <f t="shared" si="39"/>
        <v>0</v>
      </c>
      <c r="AE357" s="98" t="str">
        <f t="shared" si="40"/>
        <v/>
      </c>
      <c r="AF357" s="80" t="str">
        <f t="shared" si="41"/>
        <v>OPTICS BIDCO SPA 7.75 24/01/2033</v>
      </c>
    </row>
    <row r="358" spans="2:32" outlineLevel="1">
      <c r="B358" s="175" t="str">
        <f>IF(OR('Inventaire M'!D136="Dispo/Liquidité Investie",'Inventaire M'!D136="Option/Future",'Inventaire M'!D136="TCN",'Inventaire M'!D136=""),"-",'Inventaire M'!A136)</f>
        <v>XS2906227785</v>
      </c>
      <c r="C358" s="175" t="str">
        <f>IF(OR('Inventaire M'!D136="Dispo/Liquidité Investie",'Inventaire M'!D136="Option/Future",'Inventaire M'!D136="TCN",'Inventaire M'!D136=""),"-",'Inventaire M'!B136)</f>
        <v>OEG FINANCE PLC 7.25 27/09/2029</v>
      </c>
      <c r="D358" s="175"/>
      <c r="E358" s="175" t="e">
        <f>IF(B358="-","",INDEX('Inventaire M'!$A$2:$AW$9305,MATCH(B358,'Inventaire M'!$A:$A,0)-1,MATCH("Cours EUR",'Inventaire M'!#REF!,0)))</f>
        <v>#REF!</v>
      </c>
      <c r="F358" s="175" t="str">
        <f>IF(B358="-","",IF(ISERROR(INDEX('Inventaire M-1'!$A$2:$AZ$9320,MATCH(B358,'Inventaire M-1'!$A:$A,0)-1,MATCH("Cours EUR",'Inventaire M-1'!#REF!,0))),"Buy",INDEX('Inventaire M-1'!$A$2:$AZ$9320,MATCH(B358,'Inventaire M-1'!$A:$A,0)-1,MATCH("Cours EUR",'Inventaire M-1'!#REF!,0))))</f>
        <v>Buy</v>
      </c>
      <c r="G358" s="175"/>
      <c r="H358" s="156" t="e">
        <f>IF(B358="-","",INDEX('Inventaire M'!$A$2:$AW$9305,MATCH(B358,'Inventaire M'!$A:$A,0)-1,MATCH("quantite",'Inventaire M'!#REF!,0)))</f>
        <v>#REF!</v>
      </c>
      <c r="I358" s="156" t="str">
        <f>IF(C358="-","",IF(ISERROR(INDEX('Inventaire M-1'!$A$2:$AZ$9320,MATCH(B358,'Inventaire M-1'!$A:$A,0)-1,MATCH("quantite",'Inventaire M-1'!#REF!,0))),"Buy",INDEX('Inventaire M-1'!$A$2:$AZ$9320,MATCH(B358,'Inventaire M-1'!$A:$A,0)-1,MATCH("quantite",'Inventaire M-1'!#REF!,0))))</f>
        <v>Buy</v>
      </c>
      <c r="J358" s="175"/>
      <c r="K358" s="155" t="e">
        <f>IF(B358="-","",INDEX('Inventaire M'!$A$2:$AW$9305,MATCH(B358,'Inventaire M'!$A:$A,0)-1,MATCH("poids",'Inventaire M'!#REF!,0)))</f>
        <v>#REF!</v>
      </c>
      <c r="L358" s="155" t="str">
        <f>IF(B358="-","",IF(ISERROR(INDEX('Inventaire M-1'!$A$2:$AZ$9320,MATCH(B358,'Inventaire M-1'!$A:$A,0)-1,MATCH("poids",'Inventaire M-1'!#REF!,0))),"Buy",INDEX('Inventaire M-1'!$A$2:$AZ$9320,MATCH(B358,'Inventaire M-1'!$A:$A,0)-1,MATCH("poids",'Inventaire M-1'!#REF!,0))))</f>
        <v>Buy</v>
      </c>
      <c r="M358" s="175"/>
      <c r="N358" s="157" t="str">
        <f t="shared" si="36"/>
        <v>0</v>
      </c>
      <c r="O358" s="98" t="str">
        <f t="shared" si="37"/>
        <v/>
      </c>
      <c r="P358" s="80" t="str">
        <f t="shared" si="38"/>
        <v>OEG FINANCE PLC 7.25 27/09/2029</v>
      </c>
      <c r="Q358" s="75">
        <v>3.3400000000000001E-8</v>
      </c>
      <c r="R358" s="175" t="str">
        <f>IF(OR('Inventaire M-1'!D111="Dispo/Liquidité Investie",'Inventaire M-1'!D111="Option/Future",'Inventaire M-1'!D111="TCN",'Inventaire M-1'!D111=""),"-",'Inventaire M-1'!A111)</f>
        <v>XS2804500572</v>
      </c>
      <c r="S358" s="175" t="str">
        <f>IF(OR('Inventaire M-1'!D111="Dispo/Liquidité Investie",'Inventaire M-1'!D111="Option/Future",'Inventaire M-1'!D111="TCN",'Inventaire M-1'!D111=""),"-",'Inventaire M-1'!B111)</f>
        <v>OPTICS BIDCO SPA 6.875 15/02/2028</v>
      </c>
      <c r="T358" s="175"/>
      <c r="U358" s="175" t="e">
        <f>IF(R358="-","",INDEX('Inventaire M-1'!$A$2:$AG$9334,MATCH(R358,'Inventaire M-1'!$A:$A,0)-1,MATCH("Cours EUR",'Inventaire M-1'!#REF!,0)))</f>
        <v>#REF!</v>
      </c>
      <c r="V358" s="175" t="str">
        <f>IF(R358="-","",IF(ISERROR(INDEX('Inventaire M'!$A$2:$AD$9319,MATCH(R358,'Inventaire M'!$A:$A,0)-1,MATCH("Cours EUR",'Inventaire M'!#REF!,0))),"Sell",INDEX('Inventaire M'!$A$2:$AD$9319,MATCH(R358,'Inventaire M'!$A:$A,0)-1,MATCH("Cours EUR",'Inventaire M'!#REF!,0))))</f>
        <v>Sell</v>
      </c>
      <c r="W358" s="175"/>
      <c r="X358" s="156" t="e">
        <f>IF(R358="-","",INDEX('Inventaire M-1'!$A$2:$AG$9334,MATCH(R358,'Inventaire M-1'!$A:$A,0)-1,MATCH("quantite",'Inventaire M-1'!#REF!,0)))</f>
        <v>#REF!</v>
      </c>
      <c r="Y358" s="156" t="str">
        <f>IF(S358="-","",IF(ISERROR(INDEX('Inventaire M'!$A$2:$AD$9319,MATCH(R358,'Inventaire M'!$A:$A,0)-1,MATCH("quantite",'Inventaire M'!#REF!,0))),"Sell",INDEX('Inventaire M'!$A$2:$AD$9319,MATCH(R358,'Inventaire M'!$A:$A,0)-1,MATCH("quantite",'Inventaire M'!#REF!,0))))</f>
        <v>Sell</v>
      </c>
      <c r="Z358" s="175"/>
      <c r="AA358" s="155" t="e">
        <f>IF(R358="-","",INDEX('Inventaire M-1'!$A$2:$AG$9334,MATCH(R358,'Inventaire M-1'!$A:$A,0)-1,MATCH("poids",'Inventaire M-1'!#REF!,0)))</f>
        <v>#REF!</v>
      </c>
      <c r="AB358" s="155" t="str">
        <f>IF(R358="-","",IF(ISERROR(INDEX('Inventaire M'!$A$2:$AD$9319,MATCH(R358,'Inventaire M'!$A:$A,0)-1,MATCH("poids",'Inventaire M'!#REF!,0))),"Sell",INDEX('Inventaire M'!$A$2:$AD$9319,MATCH(R358,'Inventaire M'!$A:$A,0)-1,MATCH("poids",'Inventaire M'!#REF!,0))))</f>
        <v>Sell</v>
      </c>
      <c r="AC358" s="175"/>
      <c r="AD358" s="157" t="str">
        <f t="shared" si="39"/>
        <v>0</v>
      </c>
      <c r="AE358" s="98" t="str">
        <f t="shared" si="40"/>
        <v/>
      </c>
      <c r="AF358" s="80" t="str">
        <f t="shared" si="41"/>
        <v>OPTICS BIDCO SPA 6.875 15/02/2028</v>
      </c>
    </row>
    <row r="359" spans="2:32" outlineLevel="1">
      <c r="B359" s="175" t="str">
        <f>IF(OR('Inventaire M'!D137="Dispo/Liquidité Investie",'Inventaire M'!D137="Option/Future",'Inventaire M'!D137="TCN",'Inventaire M'!D137=""),"-",'Inventaire M'!A137)</f>
        <v>XS2910523716</v>
      </c>
      <c r="C359" s="175" t="str">
        <f>IF(OR('Inventaire M'!D137="Dispo/Liquidité Investie",'Inventaire M'!D137="Option/Future",'Inventaire M'!D137="TCN",'Inventaire M'!D137=""),"-",'Inventaire M'!B137)</f>
        <v>DYNAMO NEWCO II GMBH 6.25 15/10/2031</v>
      </c>
      <c r="D359" s="175"/>
      <c r="E359" s="175" t="e">
        <f>IF(B359="-","",INDEX('Inventaire M'!$A$2:$AW$9305,MATCH(B359,'Inventaire M'!$A:$A,0)-1,MATCH("Cours EUR",'Inventaire M'!#REF!,0)))</f>
        <v>#REF!</v>
      </c>
      <c r="F359" s="175" t="str">
        <f>IF(B359="-","",IF(ISERROR(INDEX('Inventaire M-1'!$A$2:$AZ$9320,MATCH(B359,'Inventaire M-1'!$A:$A,0)-1,MATCH("Cours EUR",'Inventaire M-1'!#REF!,0))),"Buy",INDEX('Inventaire M-1'!$A$2:$AZ$9320,MATCH(B359,'Inventaire M-1'!$A:$A,0)-1,MATCH("Cours EUR",'Inventaire M-1'!#REF!,0))))</f>
        <v>Buy</v>
      </c>
      <c r="G359" s="175"/>
      <c r="H359" s="156" t="e">
        <f>IF(B359="-","",INDEX('Inventaire M'!$A$2:$AW$9305,MATCH(B359,'Inventaire M'!$A:$A,0)-1,MATCH("quantite",'Inventaire M'!#REF!,0)))</f>
        <v>#REF!</v>
      </c>
      <c r="I359" s="156" t="str">
        <f>IF(C359="-","",IF(ISERROR(INDEX('Inventaire M-1'!$A$2:$AZ$9320,MATCH(B359,'Inventaire M-1'!$A:$A,0)-1,MATCH("quantite",'Inventaire M-1'!#REF!,0))),"Buy",INDEX('Inventaire M-1'!$A$2:$AZ$9320,MATCH(B359,'Inventaire M-1'!$A:$A,0)-1,MATCH("quantite",'Inventaire M-1'!#REF!,0))))</f>
        <v>Buy</v>
      </c>
      <c r="J359" s="175"/>
      <c r="K359" s="155" t="e">
        <f>IF(B359="-","",INDEX('Inventaire M'!$A$2:$AW$9305,MATCH(B359,'Inventaire M'!$A:$A,0)-1,MATCH("poids",'Inventaire M'!#REF!,0)))</f>
        <v>#REF!</v>
      </c>
      <c r="L359" s="155" t="str">
        <f>IF(B359="-","",IF(ISERROR(INDEX('Inventaire M-1'!$A$2:$AZ$9320,MATCH(B359,'Inventaire M-1'!$A:$A,0)-1,MATCH("poids",'Inventaire M-1'!#REF!,0))),"Buy",INDEX('Inventaire M-1'!$A$2:$AZ$9320,MATCH(B359,'Inventaire M-1'!$A:$A,0)-1,MATCH("poids",'Inventaire M-1'!#REF!,0))))</f>
        <v>Buy</v>
      </c>
      <c r="M359" s="175"/>
      <c r="N359" s="157" t="str">
        <f t="shared" si="36"/>
        <v>0</v>
      </c>
      <c r="O359" s="98" t="str">
        <f t="shared" si="37"/>
        <v/>
      </c>
      <c r="P359" s="80" t="str">
        <f t="shared" si="38"/>
        <v>DYNAMO NEWCO II GMBH 6.25 15/10/2031</v>
      </c>
      <c r="Q359" s="75">
        <v>3.3500000000000002E-8</v>
      </c>
      <c r="R359" s="175" t="str">
        <f>IF(OR('Inventaire M-1'!D112="Dispo/Liquidité Investie",'Inventaire M-1'!D112="Option/Future",'Inventaire M-1'!D112="TCN",'Inventaire M-1'!D112=""),"-",'Inventaire M-1'!A112)</f>
        <v>XS2804500812</v>
      </c>
      <c r="S359" s="175" t="str">
        <f>IF(OR('Inventaire M-1'!D112="Dispo/Liquidité Investie",'Inventaire M-1'!D112="Option/Future",'Inventaire M-1'!D112="TCN",'Inventaire M-1'!D112=""),"-",'Inventaire M-1'!B112)</f>
        <v>OPTICS BIDCO SPA 7.875 31/07/2028</v>
      </c>
      <c r="T359" s="175"/>
      <c r="U359" s="175" t="e">
        <f>IF(R359="-","",INDEX('Inventaire M-1'!$A$2:$AG$9334,MATCH(R359,'Inventaire M-1'!$A:$A,0)-1,MATCH("Cours EUR",'Inventaire M-1'!#REF!,0)))</f>
        <v>#REF!</v>
      </c>
      <c r="V359" s="175" t="str">
        <f>IF(R359="-","",IF(ISERROR(INDEX('Inventaire M'!$A$2:$AD$9319,MATCH(R359,'Inventaire M'!$A:$A,0)-1,MATCH("Cours EUR",'Inventaire M'!#REF!,0))),"Sell",INDEX('Inventaire M'!$A$2:$AD$9319,MATCH(R359,'Inventaire M'!$A:$A,0)-1,MATCH("Cours EUR",'Inventaire M'!#REF!,0))))</f>
        <v>Sell</v>
      </c>
      <c r="W359" s="175"/>
      <c r="X359" s="156" t="e">
        <f>IF(R359="-","",INDEX('Inventaire M-1'!$A$2:$AG$9334,MATCH(R359,'Inventaire M-1'!$A:$A,0)-1,MATCH("quantite",'Inventaire M-1'!#REF!,0)))</f>
        <v>#REF!</v>
      </c>
      <c r="Y359" s="156" t="str">
        <f>IF(S359="-","",IF(ISERROR(INDEX('Inventaire M'!$A$2:$AD$9319,MATCH(R359,'Inventaire M'!$A:$A,0)-1,MATCH("quantite",'Inventaire M'!#REF!,0))),"Sell",INDEX('Inventaire M'!$A$2:$AD$9319,MATCH(R359,'Inventaire M'!$A:$A,0)-1,MATCH("quantite",'Inventaire M'!#REF!,0))))</f>
        <v>Sell</v>
      </c>
      <c r="Z359" s="175"/>
      <c r="AA359" s="155" t="e">
        <f>IF(R359="-","",INDEX('Inventaire M-1'!$A$2:$AG$9334,MATCH(R359,'Inventaire M-1'!$A:$A,0)-1,MATCH("poids",'Inventaire M-1'!#REF!,0)))</f>
        <v>#REF!</v>
      </c>
      <c r="AB359" s="155" t="str">
        <f>IF(R359="-","",IF(ISERROR(INDEX('Inventaire M'!$A$2:$AD$9319,MATCH(R359,'Inventaire M'!$A:$A,0)-1,MATCH("poids",'Inventaire M'!#REF!,0))),"Sell",INDEX('Inventaire M'!$A$2:$AD$9319,MATCH(R359,'Inventaire M'!$A:$A,0)-1,MATCH("poids",'Inventaire M'!#REF!,0))))</f>
        <v>Sell</v>
      </c>
      <c r="AC359" s="175"/>
      <c r="AD359" s="157" t="str">
        <f t="shared" si="39"/>
        <v>0</v>
      </c>
      <c r="AE359" s="98" t="str">
        <f t="shared" si="40"/>
        <v/>
      </c>
      <c r="AF359" s="80" t="str">
        <f t="shared" si="41"/>
        <v>OPTICS BIDCO SPA 7.875 31/07/2028</v>
      </c>
    </row>
    <row r="360" spans="2:32" outlineLevel="1">
      <c r="B360" s="175" t="str">
        <f>IF(OR('Inventaire M'!D138="Dispo/Liquidité Investie",'Inventaire M'!D138="Option/Future",'Inventaire M'!D138="TCN",'Inventaire M'!D138=""),"-",'Inventaire M'!A138)</f>
        <v>XS2910536452</v>
      </c>
      <c r="C360" s="175" t="str">
        <f>IF(OR('Inventaire M'!D138="Dispo/Liquidité Investie",'Inventaire M'!D138="Option/Future",'Inventaire M'!D138="TCN",'Inventaire M'!D138=""),"-",'Inventaire M'!B138)</f>
        <v>FRESSNAPF HOLDING SE 5.25 31/10/2031</v>
      </c>
      <c r="D360" s="175"/>
      <c r="E360" s="175" t="e">
        <f>IF(B360="-","",INDEX('Inventaire M'!$A$2:$AW$9305,MATCH(B360,'Inventaire M'!$A:$A,0)-1,MATCH("Cours EUR",'Inventaire M'!#REF!,0)))</f>
        <v>#REF!</v>
      </c>
      <c r="F360" s="175" t="str">
        <f>IF(B360="-","",IF(ISERROR(INDEX('Inventaire M-1'!$A$2:$AZ$9320,MATCH(B360,'Inventaire M-1'!$A:$A,0)-1,MATCH("Cours EUR",'Inventaire M-1'!#REF!,0))),"Buy",INDEX('Inventaire M-1'!$A$2:$AZ$9320,MATCH(B360,'Inventaire M-1'!$A:$A,0)-1,MATCH("Cours EUR",'Inventaire M-1'!#REF!,0))))</f>
        <v>Buy</v>
      </c>
      <c r="G360" s="175"/>
      <c r="H360" s="156" t="e">
        <f>IF(B360="-","",INDEX('Inventaire M'!$A$2:$AW$9305,MATCH(B360,'Inventaire M'!$A:$A,0)-1,MATCH("quantite",'Inventaire M'!#REF!,0)))</f>
        <v>#REF!</v>
      </c>
      <c r="I360" s="156" t="str">
        <f>IF(C360="-","",IF(ISERROR(INDEX('Inventaire M-1'!$A$2:$AZ$9320,MATCH(B360,'Inventaire M-1'!$A:$A,0)-1,MATCH("quantite",'Inventaire M-1'!#REF!,0))),"Buy",INDEX('Inventaire M-1'!$A$2:$AZ$9320,MATCH(B360,'Inventaire M-1'!$A:$A,0)-1,MATCH("quantite",'Inventaire M-1'!#REF!,0))))</f>
        <v>Buy</v>
      </c>
      <c r="J360" s="175"/>
      <c r="K360" s="155" t="e">
        <f>IF(B360="-","",INDEX('Inventaire M'!$A$2:$AW$9305,MATCH(B360,'Inventaire M'!$A:$A,0)-1,MATCH("poids",'Inventaire M'!#REF!,0)))</f>
        <v>#REF!</v>
      </c>
      <c r="L360" s="155" t="str">
        <f>IF(B360="-","",IF(ISERROR(INDEX('Inventaire M-1'!$A$2:$AZ$9320,MATCH(B360,'Inventaire M-1'!$A:$A,0)-1,MATCH("poids",'Inventaire M-1'!#REF!,0))),"Buy",INDEX('Inventaire M-1'!$A$2:$AZ$9320,MATCH(B360,'Inventaire M-1'!$A:$A,0)-1,MATCH("poids",'Inventaire M-1'!#REF!,0))))</f>
        <v>Buy</v>
      </c>
      <c r="M360" s="175"/>
      <c r="N360" s="157" t="str">
        <f t="shared" si="36"/>
        <v>0</v>
      </c>
      <c r="O360" s="98" t="str">
        <f t="shared" si="37"/>
        <v/>
      </c>
      <c r="P360" s="80" t="str">
        <f t="shared" si="38"/>
        <v>FRESSNAPF HOLDING SE 5.25 31/10/2031</v>
      </c>
      <c r="Q360" s="75">
        <v>3.3600000000000003E-8</v>
      </c>
      <c r="R360" s="175" t="str">
        <f>IF(OR('Inventaire M-1'!D113="Dispo/Liquidité Investie",'Inventaire M-1'!D113="Option/Future",'Inventaire M-1'!D113="TCN",'Inventaire M-1'!D113=""),"-",'Inventaire M-1'!A113)</f>
        <v>XS2805249641</v>
      </c>
      <c r="S360" s="175" t="str">
        <f>IF(OR('Inventaire M-1'!D113="Dispo/Liquidité Investie",'Inventaire M-1'!D113="Option/Future",'Inventaire M-1'!D113="TCN",'Inventaire M-1'!D113=""),"-",'Inventaire M-1'!B113)</f>
        <v>SYNTHOMER PLC 7.375 02/05/2029</v>
      </c>
      <c r="T360" s="175"/>
      <c r="U360" s="175" t="e">
        <f>IF(R360="-","",INDEX('Inventaire M-1'!$A$2:$AG$9334,MATCH(R360,'Inventaire M-1'!$A:$A,0)-1,MATCH("Cours EUR",'Inventaire M-1'!#REF!,0)))</f>
        <v>#REF!</v>
      </c>
      <c r="V360" s="175" t="str">
        <f>IF(R360="-","",IF(ISERROR(INDEX('Inventaire M'!$A$2:$AD$9319,MATCH(R360,'Inventaire M'!$A:$A,0)-1,MATCH("Cours EUR",'Inventaire M'!#REF!,0))),"Sell",INDEX('Inventaire M'!$A$2:$AD$9319,MATCH(R360,'Inventaire M'!$A:$A,0)-1,MATCH("Cours EUR",'Inventaire M'!#REF!,0))))</f>
        <v>Sell</v>
      </c>
      <c r="W360" s="175"/>
      <c r="X360" s="156" t="e">
        <f>IF(R360="-","",INDEX('Inventaire M-1'!$A$2:$AG$9334,MATCH(R360,'Inventaire M-1'!$A:$A,0)-1,MATCH("quantite",'Inventaire M-1'!#REF!,0)))</f>
        <v>#REF!</v>
      </c>
      <c r="Y360" s="156" t="str">
        <f>IF(S360="-","",IF(ISERROR(INDEX('Inventaire M'!$A$2:$AD$9319,MATCH(R360,'Inventaire M'!$A:$A,0)-1,MATCH("quantite",'Inventaire M'!#REF!,0))),"Sell",INDEX('Inventaire M'!$A$2:$AD$9319,MATCH(R360,'Inventaire M'!$A:$A,0)-1,MATCH("quantite",'Inventaire M'!#REF!,0))))</f>
        <v>Sell</v>
      </c>
      <c r="Z360" s="175"/>
      <c r="AA360" s="155" t="e">
        <f>IF(R360="-","",INDEX('Inventaire M-1'!$A$2:$AG$9334,MATCH(R360,'Inventaire M-1'!$A:$A,0)-1,MATCH("poids",'Inventaire M-1'!#REF!,0)))</f>
        <v>#REF!</v>
      </c>
      <c r="AB360" s="155" t="str">
        <f>IF(R360="-","",IF(ISERROR(INDEX('Inventaire M'!$A$2:$AD$9319,MATCH(R360,'Inventaire M'!$A:$A,0)-1,MATCH("poids",'Inventaire M'!#REF!,0))),"Sell",INDEX('Inventaire M'!$A$2:$AD$9319,MATCH(R360,'Inventaire M'!$A:$A,0)-1,MATCH("poids",'Inventaire M'!#REF!,0))))</f>
        <v>Sell</v>
      </c>
      <c r="AC360" s="175"/>
      <c r="AD360" s="157" t="str">
        <f t="shared" si="39"/>
        <v>0</v>
      </c>
      <c r="AE360" s="98" t="str">
        <f t="shared" si="40"/>
        <v/>
      </c>
      <c r="AF360" s="80" t="str">
        <f t="shared" si="41"/>
        <v>SYNTHOMER PLC 7.375 02/05/2029</v>
      </c>
    </row>
    <row r="361" spans="2:32" outlineLevel="1">
      <c r="B361" s="175" t="str">
        <f>IF(OR('Inventaire M'!D139="Dispo/Liquidité Investie",'Inventaire M'!D139="Option/Future",'Inventaire M'!D139="TCN",'Inventaire M'!D139=""),"-",'Inventaire M'!A139)</f>
        <v>XS2911131253</v>
      </c>
      <c r="C361" s="175" t="str">
        <f>IF(OR('Inventaire M'!D139="Dispo/Liquidité Investie",'Inventaire M'!D139="Option/Future",'Inventaire M'!D139="TCN",'Inventaire M'!D139=""),"-",'Inventaire M'!B139)</f>
        <v>APCOA GROUP GMBH 6 15/04/2031</v>
      </c>
      <c r="D361" s="175"/>
      <c r="E361" s="175" t="e">
        <f>IF(B361="-","",INDEX('Inventaire M'!$A$2:$AW$9305,MATCH(B361,'Inventaire M'!$A:$A,0)-1,MATCH("Cours EUR",'Inventaire M'!#REF!,0)))</f>
        <v>#REF!</v>
      </c>
      <c r="F361" s="175" t="str">
        <f>IF(B361="-","",IF(ISERROR(INDEX('Inventaire M-1'!$A$2:$AZ$9320,MATCH(B361,'Inventaire M-1'!$A:$A,0)-1,MATCH("Cours EUR",'Inventaire M-1'!#REF!,0))),"Buy",INDEX('Inventaire M-1'!$A$2:$AZ$9320,MATCH(B361,'Inventaire M-1'!$A:$A,0)-1,MATCH("Cours EUR",'Inventaire M-1'!#REF!,0))))</f>
        <v>Buy</v>
      </c>
      <c r="G361" s="175"/>
      <c r="H361" s="156" t="e">
        <f>IF(B361="-","",INDEX('Inventaire M'!$A$2:$AW$9305,MATCH(B361,'Inventaire M'!$A:$A,0)-1,MATCH("quantite",'Inventaire M'!#REF!,0)))</f>
        <v>#REF!</v>
      </c>
      <c r="I361" s="156" t="str">
        <f>IF(C361="-","",IF(ISERROR(INDEX('Inventaire M-1'!$A$2:$AZ$9320,MATCH(B361,'Inventaire M-1'!$A:$A,0)-1,MATCH("quantite",'Inventaire M-1'!#REF!,0))),"Buy",INDEX('Inventaire M-1'!$A$2:$AZ$9320,MATCH(B361,'Inventaire M-1'!$A:$A,0)-1,MATCH("quantite",'Inventaire M-1'!#REF!,0))))</f>
        <v>Buy</v>
      </c>
      <c r="J361" s="175"/>
      <c r="K361" s="155" t="e">
        <f>IF(B361="-","",INDEX('Inventaire M'!$A$2:$AW$9305,MATCH(B361,'Inventaire M'!$A:$A,0)-1,MATCH("poids",'Inventaire M'!#REF!,0)))</f>
        <v>#REF!</v>
      </c>
      <c r="L361" s="155" t="str">
        <f>IF(B361="-","",IF(ISERROR(INDEX('Inventaire M-1'!$A$2:$AZ$9320,MATCH(B361,'Inventaire M-1'!$A:$A,0)-1,MATCH("poids",'Inventaire M-1'!#REF!,0))),"Buy",INDEX('Inventaire M-1'!$A$2:$AZ$9320,MATCH(B361,'Inventaire M-1'!$A:$A,0)-1,MATCH("poids",'Inventaire M-1'!#REF!,0))))</f>
        <v>Buy</v>
      </c>
      <c r="M361" s="175"/>
      <c r="N361" s="157" t="str">
        <f t="shared" si="36"/>
        <v>0</v>
      </c>
      <c r="O361" s="98" t="str">
        <f t="shared" si="37"/>
        <v/>
      </c>
      <c r="P361" s="80" t="str">
        <f t="shared" si="38"/>
        <v>APCOA GROUP GMBH 6 15/04/2031</v>
      </c>
      <c r="Q361" s="75">
        <v>3.3699999999999997E-8</v>
      </c>
      <c r="R361" s="175" t="str">
        <f>IF(OR('Inventaire M-1'!D114="Dispo/Liquidité Investie",'Inventaire M-1'!D114="Option/Future",'Inventaire M-1'!D114="TCN",'Inventaire M-1'!D114=""),"-",'Inventaire M-1'!A114)</f>
        <v>XS2806449190</v>
      </c>
      <c r="S361" s="175" t="str">
        <f>IF(OR('Inventaire M-1'!D114="Dispo/Liquidité Investie",'Inventaire M-1'!D114="Option/Future",'Inventaire M-1'!D114="TCN",'Inventaire M-1'!D114=""),"-",'Inventaire M-1'!B114)</f>
        <v>BOELS TOPHOLDING BV 5.75 15/05/2030</v>
      </c>
      <c r="T361" s="175"/>
      <c r="U361" s="175" t="e">
        <f>IF(R361="-","",INDEX('Inventaire M-1'!$A$2:$AG$9334,MATCH(R361,'Inventaire M-1'!$A:$A,0)-1,MATCH("Cours EUR",'Inventaire M-1'!#REF!,0)))</f>
        <v>#REF!</v>
      </c>
      <c r="V361" s="175" t="str">
        <f>IF(R361="-","",IF(ISERROR(INDEX('Inventaire M'!$A$2:$AD$9319,MATCH(R361,'Inventaire M'!$A:$A,0)-1,MATCH("Cours EUR",'Inventaire M'!#REF!,0))),"Sell",INDEX('Inventaire M'!$A$2:$AD$9319,MATCH(R361,'Inventaire M'!$A:$A,0)-1,MATCH("Cours EUR",'Inventaire M'!#REF!,0))))</f>
        <v>Sell</v>
      </c>
      <c r="W361" s="175"/>
      <c r="X361" s="156" t="e">
        <f>IF(R361="-","",INDEX('Inventaire M-1'!$A$2:$AG$9334,MATCH(R361,'Inventaire M-1'!$A:$A,0)-1,MATCH("quantite",'Inventaire M-1'!#REF!,0)))</f>
        <v>#REF!</v>
      </c>
      <c r="Y361" s="156" t="str">
        <f>IF(S361="-","",IF(ISERROR(INDEX('Inventaire M'!$A$2:$AD$9319,MATCH(R361,'Inventaire M'!$A:$A,0)-1,MATCH("quantite",'Inventaire M'!#REF!,0))),"Sell",INDEX('Inventaire M'!$A$2:$AD$9319,MATCH(R361,'Inventaire M'!$A:$A,0)-1,MATCH("quantite",'Inventaire M'!#REF!,0))))</f>
        <v>Sell</v>
      </c>
      <c r="Z361" s="175"/>
      <c r="AA361" s="155" t="e">
        <f>IF(R361="-","",INDEX('Inventaire M-1'!$A$2:$AG$9334,MATCH(R361,'Inventaire M-1'!$A:$A,0)-1,MATCH("poids",'Inventaire M-1'!#REF!,0)))</f>
        <v>#REF!</v>
      </c>
      <c r="AB361" s="155" t="str">
        <f>IF(R361="-","",IF(ISERROR(INDEX('Inventaire M'!$A$2:$AD$9319,MATCH(R361,'Inventaire M'!$A:$A,0)-1,MATCH("poids",'Inventaire M'!#REF!,0))),"Sell",INDEX('Inventaire M'!$A$2:$AD$9319,MATCH(R361,'Inventaire M'!$A:$A,0)-1,MATCH("poids",'Inventaire M'!#REF!,0))))</f>
        <v>Sell</v>
      </c>
      <c r="AC361" s="175"/>
      <c r="AD361" s="157" t="str">
        <f t="shared" si="39"/>
        <v>0</v>
      </c>
      <c r="AE361" s="98" t="str">
        <f t="shared" si="40"/>
        <v/>
      </c>
      <c r="AF361" s="80" t="str">
        <f t="shared" si="41"/>
        <v>BOELS TOPHOLDING BV 5.75 15/05/2030</v>
      </c>
    </row>
    <row r="362" spans="2:32" outlineLevel="1">
      <c r="B362" s="175" t="str">
        <f>IF(OR('Inventaire M'!D140="Dispo/Liquidité Investie",'Inventaire M'!D140="Option/Future",'Inventaire M'!D140="TCN",'Inventaire M'!D140=""),"-",'Inventaire M'!A140)</f>
        <v>XS2913056797</v>
      </c>
      <c r="C362" s="175" t="str">
        <f>IF(OR('Inventaire M'!D140="Dispo/Liquidité Investie",'Inventaire M'!D140="Option/Future",'Inventaire M'!D140="TCN",'Inventaire M'!D140=""),"-",'Inventaire M'!B140)</f>
        <v>KONINKLIJKE FRIESLANDCAMPINA NV PERP</v>
      </c>
      <c r="D362" s="175"/>
      <c r="E362" s="175" t="e">
        <f>IF(B362="-","",INDEX('Inventaire M'!$A$2:$AW$9305,MATCH(B362,'Inventaire M'!$A:$A,0)-1,MATCH("Cours EUR",'Inventaire M'!#REF!,0)))</f>
        <v>#REF!</v>
      </c>
      <c r="F362" s="175" t="str">
        <f>IF(B362="-","",IF(ISERROR(INDEX('Inventaire M-1'!$A$2:$AZ$9320,MATCH(B362,'Inventaire M-1'!$A:$A,0)-1,MATCH("Cours EUR",'Inventaire M-1'!#REF!,0))),"Buy",INDEX('Inventaire M-1'!$A$2:$AZ$9320,MATCH(B362,'Inventaire M-1'!$A:$A,0)-1,MATCH("Cours EUR",'Inventaire M-1'!#REF!,0))))</f>
        <v>Buy</v>
      </c>
      <c r="G362" s="175"/>
      <c r="H362" s="156" t="e">
        <f>IF(B362="-","",INDEX('Inventaire M'!$A$2:$AW$9305,MATCH(B362,'Inventaire M'!$A:$A,0)-1,MATCH("quantite",'Inventaire M'!#REF!,0)))</f>
        <v>#REF!</v>
      </c>
      <c r="I362" s="156" t="str">
        <f>IF(C362="-","",IF(ISERROR(INDEX('Inventaire M-1'!$A$2:$AZ$9320,MATCH(B362,'Inventaire M-1'!$A:$A,0)-1,MATCH("quantite",'Inventaire M-1'!#REF!,0))),"Buy",INDEX('Inventaire M-1'!$A$2:$AZ$9320,MATCH(B362,'Inventaire M-1'!$A:$A,0)-1,MATCH("quantite",'Inventaire M-1'!#REF!,0))))</f>
        <v>Buy</v>
      </c>
      <c r="J362" s="175"/>
      <c r="K362" s="155" t="e">
        <f>IF(B362="-","",INDEX('Inventaire M'!$A$2:$AW$9305,MATCH(B362,'Inventaire M'!$A:$A,0)-1,MATCH("poids",'Inventaire M'!#REF!,0)))</f>
        <v>#REF!</v>
      </c>
      <c r="L362" s="155" t="str">
        <f>IF(B362="-","",IF(ISERROR(INDEX('Inventaire M-1'!$A$2:$AZ$9320,MATCH(B362,'Inventaire M-1'!$A:$A,0)-1,MATCH("poids",'Inventaire M-1'!#REF!,0))),"Buy",INDEX('Inventaire M-1'!$A$2:$AZ$9320,MATCH(B362,'Inventaire M-1'!$A:$A,0)-1,MATCH("poids",'Inventaire M-1'!#REF!,0))))</f>
        <v>Buy</v>
      </c>
      <c r="M362" s="175"/>
      <c r="N362" s="157" t="str">
        <f t="shared" si="36"/>
        <v>0</v>
      </c>
      <c r="O362" s="98" t="str">
        <f t="shared" si="37"/>
        <v/>
      </c>
      <c r="P362" s="80" t="str">
        <f t="shared" si="38"/>
        <v>KONINKLIJKE FRIESLANDCAMPINA NV PERP</v>
      </c>
      <c r="Q362" s="75">
        <v>3.3799999999999998E-8</v>
      </c>
      <c r="R362" s="175" t="str">
        <f>IF(OR('Inventaire M-1'!D115="Dispo/Liquidité Investie",'Inventaire M-1'!D115="Option/Future",'Inventaire M-1'!D115="TCN",'Inventaire M-1'!D115=""),"-",'Inventaire M-1'!A115)</f>
        <v>XS2810807094</v>
      </c>
      <c r="S362" s="175" t="str">
        <f>IF(OR('Inventaire M-1'!D115="Dispo/Liquidité Investie",'Inventaire M-1'!D115="Option/Future",'Inventaire M-1'!D115="TCN",'Inventaire M-1'!D115=""),"-",'Inventaire M-1'!B115)</f>
        <v>ILIAD HOLDING SAS 6.875 15/04/2031</v>
      </c>
      <c r="T362" s="175"/>
      <c r="U362" s="175" t="e">
        <f>IF(R362="-","",INDEX('Inventaire M-1'!$A$2:$AG$9334,MATCH(R362,'Inventaire M-1'!$A:$A,0)-1,MATCH("Cours EUR",'Inventaire M-1'!#REF!,0)))</f>
        <v>#REF!</v>
      </c>
      <c r="V362" s="175" t="str">
        <f>IF(R362="-","",IF(ISERROR(INDEX('Inventaire M'!$A$2:$AD$9319,MATCH(R362,'Inventaire M'!$A:$A,0)-1,MATCH("Cours EUR",'Inventaire M'!#REF!,0))),"Sell",INDEX('Inventaire M'!$A$2:$AD$9319,MATCH(R362,'Inventaire M'!$A:$A,0)-1,MATCH("Cours EUR",'Inventaire M'!#REF!,0))))</f>
        <v>Sell</v>
      </c>
      <c r="W362" s="175"/>
      <c r="X362" s="156" t="e">
        <f>IF(R362="-","",INDEX('Inventaire M-1'!$A$2:$AG$9334,MATCH(R362,'Inventaire M-1'!$A:$A,0)-1,MATCH("quantite",'Inventaire M-1'!#REF!,0)))</f>
        <v>#REF!</v>
      </c>
      <c r="Y362" s="156" t="str">
        <f>IF(S362="-","",IF(ISERROR(INDEX('Inventaire M'!$A$2:$AD$9319,MATCH(R362,'Inventaire M'!$A:$A,0)-1,MATCH("quantite",'Inventaire M'!#REF!,0))),"Sell",INDEX('Inventaire M'!$A$2:$AD$9319,MATCH(R362,'Inventaire M'!$A:$A,0)-1,MATCH("quantite",'Inventaire M'!#REF!,0))))</f>
        <v>Sell</v>
      </c>
      <c r="Z362" s="175"/>
      <c r="AA362" s="155" t="e">
        <f>IF(R362="-","",INDEX('Inventaire M-1'!$A$2:$AG$9334,MATCH(R362,'Inventaire M-1'!$A:$A,0)-1,MATCH("poids",'Inventaire M-1'!#REF!,0)))</f>
        <v>#REF!</v>
      </c>
      <c r="AB362" s="155" t="str">
        <f>IF(R362="-","",IF(ISERROR(INDEX('Inventaire M'!$A$2:$AD$9319,MATCH(R362,'Inventaire M'!$A:$A,0)-1,MATCH("poids",'Inventaire M'!#REF!,0))),"Sell",INDEX('Inventaire M'!$A$2:$AD$9319,MATCH(R362,'Inventaire M'!$A:$A,0)-1,MATCH("poids",'Inventaire M'!#REF!,0))))</f>
        <v>Sell</v>
      </c>
      <c r="AC362" s="175"/>
      <c r="AD362" s="157" t="str">
        <f t="shared" si="39"/>
        <v>0</v>
      </c>
      <c r="AE362" s="98" t="str">
        <f t="shared" si="40"/>
        <v/>
      </c>
      <c r="AF362" s="80" t="str">
        <f t="shared" si="41"/>
        <v>ILIAD HOLDING SAS 6.875 15/04/2031</v>
      </c>
    </row>
    <row r="363" spans="2:32" outlineLevel="1">
      <c r="B363" s="175" t="str">
        <f>IF(OR('Inventaire M'!D141="Dispo/Liquidité Investie",'Inventaire M'!D141="Option/Future",'Inventaire M'!D141="TCN",'Inventaire M'!D141=""),"-",'Inventaire M'!A141)</f>
        <v>XS2920589699</v>
      </c>
      <c r="C363" s="175" t="str">
        <f>IF(OR('Inventaire M'!D141="Dispo/Liquidité Investie",'Inventaire M'!D141="Option/Future",'Inventaire M'!D141="TCN",'Inventaire M'!D141=""),"-",'Inventaire M'!B141)</f>
        <v>NIDDA HEALTHCARE HOLDING GMBH 5.625 21/02/2030</v>
      </c>
      <c r="D363" s="175"/>
      <c r="E363" s="175" t="e">
        <f>IF(B363="-","",INDEX('Inventaire M'!$A$2:$AW$9305,MATCH(B363,'Inventaire M'!$A:$A,0)-1,MATCH("Cours EUR",'Inventaire M'!#REF!,0)))</f>
        <v>#REF!</v>
      </c>
      <c r="F363" s="175" t="str">
        <f>IF(B363="-","",IF(ISERROR(INDEX('Inventaire M-1'!$A$2:$AZ$9320,MATCH(B363,'Inventaire M-1'!$A:$A,0)-1,MATCH("Cours EUR",'Inventaire M-1'!#REF!,0))),"Buy",INDEX('Inventaire M-1'!$A$2:$AZ$9320,MATCH(B363,'Inventaire M-1'!$A:$A,0)-1,MATCH("Cours EUR",'Inventaire M-1'!#REF!,0))))</f>
        <v>Buy</v>
      </c>
      <c r="G363" s="175"/>
      <c r="H363" s="156" t="e">
        <f>IF(B363="-","",INDEX('Inventaire M'!$A$2:$AW$9305,MATCH(B363,'Inventaire M'!$A:$A,0)-1,MATCH("quantite",'Inventaire M'!#REF!,0)))</f>
        <v>#REF!</v>
      </c>
      <c r="I363" s="156" t="str">
        <f>IF(C363="-","",IF(ISERROR(INDEX('Inventaire M-1'!$A$2:$AZ$9320,MATCH(B363,'Inventaire M-1'!$A:$A,0)-1,MATCH("quantite",'Inventaire M-1'!#REF!,0))),"Buy",INDEX('Inventaire M-1'!$A$2:$AZ$9320,MATCH(B363,'Inventaire M-1'!$A:$A,0)-1,MATCH("quantite",'Inventaire M-1'!#REF!,0))))</f>
        <v>Buy</v>
      </c>
      <c r="J363" s="175"/>
      <c r="K363" s="155" t="e">
        <f>IF(B363="-","",INDEX('Inventaire M'!$A$2:$AW$9305,MATCH(B363,'Inventaire M'!$A:$A,0)-1,MATCH("poids",'Inventaire M'!#REF!,0)))</f>
        <v>#REF!</v>
      </c>
      <c r="L363" s="155" t="str">
        <f>IF(B363="-","",IF(ISERROR(INDEX('Inventaire M-1'!$A$2:$AZ$9320,MATCH(B363,'Inventaire M-1'!$A:$A,0)-1,MATCH("poids",'Inventaire M-1'!#REF!,0))),"Buy",INDEX('Inventaire M-1'!$A$2:$AZ$9320,MATCH(B363,'Inventaire M-1'!$A:$A,0)-1,MATCH("poids",'Inventaire M-1'!#REF!,0))))</f>
        <v>Buy</v>
      </c>
      <c r="M363" s="175"/>
      <c r="N363" s="157" t="str">
        <f t="shared" si="36"/>
        <v>0</v>
      </c>
      <c r="O363" s="98" t="str">
        <f t="shared" si="37"/>
        <v/>
      </c>
      <c r="P363" s="80" t="str">
        <f t="shared" si="38"/>
        <v>NIDDA HEALTHCARE HOLDING GMBH 5.625 21/02/2030</v>
      </c>
      <c r="Q363" s="75">
        <v>3.3899999999999999E-8</v>
      </c>
      <c r="R363" s="175" t="str">
        <f>IF(OR('Inventaire M-1'!D116="Dispo/Liquidité Investie",'Inventaire M-1'!D116="Option/Future",'Inventaire M-1'!D116="TCN",'Inventaire M-1'!D116=""),"-",'Inventaire M-1'!A116)</f>
        <v>XS2811097075</v>
      </c>
      <c r="S363" s="175" t="str">
        <f>IF(OR('Inventaire M-1'!D116="Dispo/Liquidité Investie",'Inventaire M-1'!D116="Option/Future",'Inventaire M-1'!D116="TCN",'Inventaire M-1'!D116=""),"-",'Inventaire M-1'!B116)</f>
        <v>VOLVO CAR AB 4.75 08/05/2030</v>
      </c>
      <c r="T363" s="175"/>
      <c r="U363" s="175" t="e">
        <f>IF(R363="-","",INDEX('Inventaire M-1'!$A$2:$AG$9334,MATCH(R363,'Inventaire M-1'!$A:$A,0)-1,MATCH("Cours EUR",'Inventaire M-1'!#REF!,0)))</f>
        <v>#REF!</v>
      </c>
      <c r="V363" s="175" t="str">
        <f>IF(R363="-","",IF(ISERROR(INDEX('Inventaire M'!$A$2:$AD$9319,MATCH(R363,'Inventaire M'!$A:$A,0)-1,MATCH("Cours EUR",'Inventaire M'!#REF!,0))),"Sell",INDEX('Inventaire M'!$A$2:$AD$9319,MATCH(R363,'Inventaire M'!$A:$A,0)-1,MATCH("Cours EUR",'Inventaire M'!#REF!,0))))</f>
        <v>Sell</v>
      </c>
      <c r="W363" s="175"/>
      <c r="X363" s="156" t="e">
        <f>IF(R363="-","",INDEX('Inventaire M-1'!$A$2:$AG$9334,MATCH(R363,'Inventaire M-1'!$A:$A,0)-1,MATCH("quantite",'Inventaire M-1'!#REF!,0)))</f>
        <v>#REF!</v>
      </c>
      <c r="Y363" s="156" t="str">
        <f>IF(S363="-","",IF(ISERROR(INDEX('Inventaire M'!$A$2:$AD$9319,MATCH(R363,'Inventaire M'!$A:$A,0)-1,MATCH("quantite",'Inventaire M'!#REF!,0))),"Sell",INDEX('Inventaire M'!$A$2:$AD$9319,MATCH(R363,'Inventaire M'!$A:$A,0)-1,MATCH("quantite",'Inventaire M'!#REF!,0))))</f>
        <v>Sell</v>
      </c>
      <c r="Z363" s="175"/>
      <c r="AA363" s="155" t="e">
        <f>IF(R363="-","",INDEX('Inventaire M-1'!$A$2:$AG$9334,MATCH(R363,'Inventaire M-1'!$A:$A,0)-1,MATCH("poids",'Inventaire M-1'!#REF!,0)))</f>
        <v>#REF!</v>
      </c>
      <c r="AB363" s="155" t="str">
        <f>IF(R363="-","",IF(ISERROR(INDEX('Inventaire M'!$A$2:$AD$9319,MATCH(R363,'Inventaire M'!$A:$A,0)-1,MATCH("poids",'Inventaire M'!#REF!,0))),"Sell",INDEX('Inventaire M'!$A$2:$AD$9319,MATCH(R363,'Inventaire M'!$A:$A,0)-1,MATCH("poids",'Inventaire M'!#REF!,0))))</f>
        <v>Sell</v>
      </c>
      <c r="AC363" s="175"/>
      <c r="AD363" s="157" t="str">
        <f t="shared" si="39"/>
        <v>0</v>
      </c>
      <c r="AE363" s="98" t="str">
        <f t="shared" si="40"/>
        <v/>
      </c>
      <c r="AF363" s="80" t="str">
        <f t="shared" si="41"/>
        <v>VOLVO CAR AB 4.75 08/05/2030</v>
      </c>
    </row>
    <row r="364" spans="2:32" outlineLevel="1">
      <c r="B364" s="175" t="str">
        <f>IF(OR('Inventaire M'!D142="Dispo/Liquidité Investie",'Inventaire M'!D142="Option/Future",'Inventaire M'!D142="TCN",'Inventaire M'!D142=""),"-",'Inventaire M'!A142)</f>
        <v>XS2927492798</v>
      </c>
      <c r="C364" s="175" t="str">
        <f>IF(OR('Inventaire M'!D142="Dispo/Liquidité Investie",'Inventaire M'!D142="Option/Future",'Inventaire M'!D142="TCN",'Inventaire M'!D142=""),"-",'Inventaire M'!B142)</f>
        <v>ALMAVIVA THE ITALIAN INNOVATION CO 5 30/10/2030</v>
      </c>
      <c r="D364" s="175"/>
      <c r="E364" s="175" t="e">
        <f>IF(B364="-","",INDEX('Inventaire M'!$A$2:$AW$9305,MATCH(B364,'Inventaire M'!$A:$A,0)-1,MATCH("Cours EUR",'Inventaire M'!#REF!,0)))</f>
        <v>#REF!</v>
      </c>
      <c r="F364" s="175" t="str">
        <f>IF(B364="-","",IF(ISERROR(INDEX('Inventaire M-1'!$A$2:$AZ$9320,MATCH(B364,'Inventaire M-1'!$A:$A,0)-1,MATCH("Cours EUR",'Inventaire M-1'!#REF!,0))),"Buy",INDEX('Inventaire M-1'!$A$2:$AZ$9320,MATCH(B364,'Inventaire M-1'!$A:$A,0)-1,MATCH("Cours EUR",'Inventaire M-1'!#REF!,0))))</f>
        <v>Buy</v>
      </c>
      <c r="G364" s="175"/>
      <c r="H364" s="156" t="e">
        <f>IF(B364="-","",INDEX('Inventaire M'!$A$2:$AW$9305,MATCH(B364,'Inventaire M'!$A:$A,0)-1,MATCH("quantite",'Inventaire M'!#REF!,0)))</f>
        <v>#REF!</v>
      </c>
      <c r="I364" s="156" t="str">
        <f>IF(C364="-","",IF(ISERROR(INDEX('Inventaire M-1'!$A$2:$AZ$9320,MATCH(B364,'Inventaire M-1'!$A:$A,0)-1,MATCH("quantite",'Inventaire M-1'!#REF!,0))),"Buy",INDEX('Inventaire M-1'!$A$2:$AZ$9320,MATCH(B364,'Inventaire M-1'!$A:$A,0)-1,MATCH("quantite",'Inventaire M-1'!#REF!,0))))</f>
        <v>Buy</v>
      </c>
      <c r="J364" s="175"/>
      <c r="K364" s="155" t="e">
        <f>IF(B364="-","",INDEX('Inventaire M'!$A$2:$AW$9305,MATCH(B364,'Inventaire M'!$A:$A,0)-1,MATCH("poids",'Inventaire M'!#REF!,0)))</f>
        <v>#REF!</v>
      </c>
      <c r="L364" s="155" t="str">
        <f>IF(B364="-","",IF(ISERROR(INDEX('Inventaire M-1'!$A$2:$AZ$9320,MATCH(B364,'Inventaire M-1'!$A:$A,0)-1,MATCH("poids",'Inventaire M-1'!#REF!,0))),"Buy",INDEX('Inventaire M-1'!$A$2:$AZ$9320,MATCH(B364,'Inventaire M-1'!$A:$A,0)-1,MATCH("poids",'Inventaire M-1'!#REF!,0))))</f>
        <v>Buy</v>
      </c>
      <c r="M364" s="175"/>
      <c r="N364" s="157" t="str">
        <f t="shared" si="36"/>
        <v>0</v>
      </c>
      <c r="O364" s="98" t="str">
        <f t="shared" si="37"/>
        <v/>
      </c>
      <c r="P364" s="80" t="str">
        <f t="shared" si="38"/>
        <v>ALMAVIVA THE ITALIAN INNOVATION CO 5 30/10/2030</v>
      </c>
      <c r="Q364" s="75">
        <v>3.4E-8</v>
      </c>
      <c r="R364" s="175" t="str">
        <f>IF(OR('Inventaire M-1'!D117="Dispo/Liquidité Investie",'Inventaire M-1'!D117="Option/Future",'Inventaire M-1'!D117="TCN",'Inventaire M-1'!D117=""),"-",'Inventaire M-1'!A117)</f>
        <v>XS2824643220</v>
      </c>
      <c r="S364" s="175" t="str">
        <f>IF(OR('Inventaire M-1'!D117="Dispo/Liquidité Investie",'Inventaire M-1'!D117="Option/Future",'Inventaire M-1'!D117="TCN",'Inventaire M-1'!D117=""),"-",'Inventaire M-1'!B117)</f>
        <v>LOTTOMATICA SPA 5.375 01/06/2030</v>
      </c>
      <c r="T364" s="175"/>
      <c r="U364" s="175" t="e">
        <f>IF(R364="-","",INDEX('Inventaire M-1'!$A$2:$AG$9334,MATCH(R364,'Inventaire M-1'!$A:$A,0)-1,MATCH("Cours EUR",'Inventaire M-1'!#REF!,0)))</f>
        <v>#REF!</v>
      </c>
      <c r="V364" s="175" t="str">
        <f>IF(R364="-","",IF(ISERROR(INDEX('Inventaire M'!$A$2:$AD$9319,MATCH(R364,'Inventaire M'!$A:$A,0)-1,MATCH("Cours EUR",'Inventaire M'!#REF!,0))),"Sell",INDEX('Inventaire M'!$A$2:$AD$9319,MATCH(R364,'Inventaire M'!$A:$A,0)-1,MATCH("Cours EUR",'Inventaire M'!#REF!,0))))</f>
        <v>Sell</v>
      </c>
      <c r="W364" s="175"/>
      <c r="X364" s="156" t="e">
        <f>IF(R364="-","",INDEX('Inventaire M-1'!$A$2:$AG$9334,MATCH(R364,'Inventaire M-1'!$A:$A,0)-1,MATCH("quantite",'Inventaire M-1'!#REF!,0)))</f>
        <v>#REF!</v>
      </c>
      <c r="Y364" s="156" t="str">
        <f>IF(S364="-","",IF(ISERROR(INDEX('Inventaire M'!$A$2:$AD$9319,MATCH(R364,'Inventaire M'!$A:$A,0)-1,MATCH("quantite",'Inventaire M'!#REF!,0))),"Sell",INDEX('Inventaire M'!$A$2:$AD$9319,MATCH(R364,'Inventaire M'!$A:$A,0)-1,MATCH("quantite",'Inventaire M'!#REF!,0))))</f>
        <v>Sell</v>
      </c>
      <c r="Z364" s="175"/>
      <c r="AA364" s="155" t="e">
        <f>IF(R364="-","",INDEX('Inventaire M-1'!$A$2:$AG$9334,MATCH(R364,'Inventaire M-1'!$A:$A,0)-1,MATCH("poids",'Inventaire M-1'!#REF!,0)))</f>
        <v>#REF!</v>
      </c>
      <c r="AB364" s="155" t="str">
        <f>IF(R364="-","",IF(ISERROR(INDEX('Inventaire M'!$A$2:$AD$9319,MATCH(R364,'Inventaire M'!$A:$A,0)-1,MATCH("poids",'Inventaire M'!#REF!,0))),"Sell",INDEX('Inventaire M'!$A$2:$AD$9319,MATCH(R364,'Inventaire M'!$A:$A,0)-1,MATCH("poids",'Inventaire M'!#REF!,0))))</f>
        <v>Sell</v>
      </c>
      <c r="AC364" s="175"/>
      <c r="AD364" s="157" t="str">
        <f t="shared" si="39"/>
        <v>0</v>
      </c>
      <c r="AE364" s="98" t="str">
        <f t="shared" si="40"/>
        <v/>
      </c>
      <c r="AF364" s="80" t="str">
        <f t="shared" si="41"/>
        <v>LOTTOMATICA SPA 5.375 01/06/2030</v>
      </c>
    </row>
    <row r="365" spans="2:32" outlineLevel="1">
      <c r="B365" s="175" t="str">
        <f>IF(OR('Inventaire M'!D143="Dispo/Liquidité Investie",'Inventaire M'!D143="Option/Future",'Inventaire M'!D143="TCN",'Inventaire M'!D143=""),"-",'Inventaire M'!A143)</f>
        <v>XS2929941503</v>
      </c>
      <c r="C365" s="175" t="str">
        <f>IF(OR('Inventaire M'!D143="Dispo/Liquidité Investie",'Inventaire M'!D143="Option/Future",'Inventaire M'!D143="TCN",'Inventaire M'!D143=""),"-",'Inventaire M'!B143)</f>
        <v>CALIFORNIA BUYER LTD 5.625 15/02/2032</v>
      </c>
      <c r="D365" s="175"/>
      <c r="E365" s="175" t="e">
        <f>IF(B365="-","",INDEX('Inventaire M'!$A$2:$AW$9305,MATCH(B365,'Inventaire M'!$A:$A,0)-1,MATCH("Cours EUR",'Inventaire M'!#REF!,0)))</f>
        <v>#REF!</v>
      </c>
      <c r="F365" s="175" t="str">
        <f>IF(B365="-","",IF(ISERROR(INDEX('Inventaire M-1'!$A$2:$AZ$9320,MATCH(B365,'Inventaire M-1'!$A:$A,0)-1,MATCH("Cours EUR",'Inventaire M-1'!#REF!,0))),"Buy",INDEX('Inventaire M-1'!$A$2:$AZ$9320,MATCH(B365,'Inventaire M-1'!$A:$A,0)-1,MATCH("Cours EUR",'Inventaire M-1'!#REF!,0))))</f>
        <v>Buy</v>
      </c>
      <c r="G365" s="175"/>
      <c r="H365" s="156" t="e">
        <f>IF(B365="-","",INDEX('Inventaire M'!$A$2:$AW$9305,MATCH(B365,'Inventaire M'!$A:$A,0)-1,MATCH("quantite",'Inventaire M'!#REF!,0)))</f>
        <v>#REF!</v>
      </c>
      <c r="I365" s="156" t="str">
        <f>IF(C365="-","",IF(ISERROR(INDEX('Inventaire M-1'!$A$2:$AZ$9320,MATCH(B365,'Inventaire M-1'!$A:$A,0)-1,MATCH("quantite",'Inventaire M-1'!#REF!,0))),"Buy",INDEX('Inventaire M-1'!$A$2:$AZ$9320,MATCH(B365,'Inventaire M-1'!$A:$A,0)-1,MATCH("quantite",'Inventaire M-1'!#REF!,0))))</f>
        <v>Buy</v>
      </c>
      <c r="J365" s="175"/>
      <c r="K365" s="155" t="e">
        <f>IF(B365="-","",INDEX('Inventaire M'!$A$2:$AW$9305,MATCH(B365,'Inventaire M'!$A:$A,0)-1,MATCH("poids",'Inventaire M'!#REF!,0)))</f>
        <v>#REF!</v>
      </c>
      <c r="L365" s="155" t="str">
        <f>IF(B365="-","",IF(ISERROR(INDEX('Inventaire M-1'!$A$2:$AZ$9320,MATCH(B365,'Inventaire M-1'!$A:$A,0)-1,MATCH("poids",'Inventaire M-1'!#REF!,0))),"Buy",INDEX('Inventaire M-1'!$A$2:$AZ$9320,MATCH(B365,'Inventaire M-1'!$A:$A,0)-1,MATCH("poids",'Inventaire M-1'!#REF!,0))))</f>
        <v>Buy</v>
      </c>
      <c r="M365" s="175"/>
      <c r="N365" s="157" t="str">
        <f t="shared" si="36"/>
        <v>0</v>
      </c>
      <c r="O365" s="98" t="str">
        <f t="shared" si="37"/>
        <v/>
      </c>
      <c r="P365" s="80" t="str">
        <f t="shared" si="38"/>
        <v>CALIFORNIA BUYER LTD 5.625 15/02/2032</v>
      </c>
      <c r="Q365" s="75">
        <v>3.4100000000000001E-8</v>
      </c>
      <c r="R365" s="175" t="str">
        <f>IF(OR('Inventaire M-1'!D118="Dispo/Liquidité Investie",'Inventaire M-1'!D118="Option/Future",'Inventaire M-1'!D118="TCN",'Inventaire M-1'!D118=""),"-",'Inventaire M-1'!A118)</f>
        <v>XS2824778075</v>
      </c>
      <c r="S365" s="175" t="str">
        <f>IF(OR('Inventaire M-1'!D118="Dispo/Liquidité Investie",'Inventaire M-1'!D118="Option/Future",'Inventaire M-1'!D118="TCN",'Inventaire M-1'!D118=""),"-",'Inventaire M-1'!B118)</f>
        <v>KONINKLIJKE KPN NV PERP</v>
      </c>
      <c r="T365" s="175"/>
      <c r="U365" s="175" t="e">
        <f>IF(R365="-","",INDEX('Inventaire M-1'!$A$2:$AG$9334,MATCH(R365,'Inventaire M-1'!$A:$A,0)-1,MATCH("Cours EUR",'Inventaire M-1'!#REF!,0)))</f>
        <v>#REF!</v>
      </c>
      <c r="V365" s="175" t="str">
        <f>IF(R365="-","",IF(ISERROR(INDEX('Inventaire M'!$A$2:$AD$9319,MATCH(R365,'Inventaire M'!$A:$A,0)-1,MATCH("Cours EUR",'Inventaire M'!#REF!,0))),"Sell",INDEX('Inventaire M'!$A$2:$AD$9319,MATCH(R365,'Inventaire M'!$A:$A,0)-1,MATCH("Cours EUR",'Inventaire M'!#REF!,0))))</f>
        <v>Sell</v>
      </c>
      <c r="W365" s="175"/>
      <c r="X365" s="156" t="e">
        <f>IF(R365="-","",INDEX('Inventaire M-1'!$A$2:$AG$9334,MATCH(R365,'Inventaire M-1'!$A:$A,0)-1,MATCH("quantite",'Inventaire M-1'!#REF!,0)))</f>
        <v>#REF!</v>
      </c>
      <c r="Y365" s="156" t="str">
        <f>IF(S365="-","",IF(ISERROR(INDEX('Inventaire M'!$A$2:$AD$9319,MATCH(R365,'Inventaire M'!$A:$A,0)-1,MATCH("quantite",'Inventaire M'!#REF!,0))),"Sell",INDEX('Inventaire M'!$A$2:$AD$9319,MATCH(R365,'Inventaire M'!$A:$A,0)-1,MATCH("quantite",'Inventaire M'!#REF!,0))))</f>
        <v>Sell</v>
      </c>
      <c r="Z365" s="175"/>
      <c r="AA365" s="155" t="e">
        <f>IF(R365="-","",INDEX('Inventaire M-1'!$A$2:$AG$9334,MATCH(R365,'Inventaire M-1'!$A:$A,0)-1,MATCH("poids",'Inventaire M-1'!#REF!,0)))</f>
        <v>#REF!</v>
      </c>
      <c r="AB365" s="155" t="str">
        <f>IF(R365="-","",IF(ISERROR(INDEX('Inventaire M'!$A$2:$AD$9319,MATCH(R365,'Inventaire M'!$A:$A,0)-1,MATCH("poids",'Inventaire M'!#REF!,0))),"Sell",INDEX('Inventaire M'!$A$2:$AD$9319,MATCH(R365,'Inventaire M'!$A:$A,0)-1,MATCH("poids",'Inventaire M'!#REF!,0))))</f>
        <v>Sell</v>
      </c>
      <c r="AC365" s="175"/>
      <c r="AD365" s="157" t="str">
        <f t="shared" si="39"/>
        <v>0</v>
      </c>
      <c r="AE365" s="98" t="str">
        <f t="shared" si="40"/>
        <v/>
      </c>
      <c r="AF365" s="80" t="str">
        <f t="shared" si="41"/>
        <v>KONINKLIJKE KPN NV PERP</v>
      </c>
    </row>
    <row r="366" spans="2:32" outlineLevel="1">
      <c r="B366" s="175" t="str">
        <f>IF(OR('Inventaire M'!D144="Dispo/Liquidité Investie",'Inventaire M'!D144="Option/Future",'Inventaire M'!D144="TCN",'Inventaire M'!D144=""),"-",'Inventaire M'!A144)</f>
        <v>XS2930112730</v>
      </c>
      <c r="C366" s="175" t="str">
        <f>IF(OR('Inventaire M'!D144="Dispo/Liquidité Investie",'Inventaire M'!D144="Option/Future",'Inventaire M'!D144="TCN",'Inventaire M'!D144=""),"-",'Inventaire M'!B144)</f>
        <v>OMNIA DELLA TOFFOLA SPA 05/11/2031</v>
      </c>
      <c r="D366" s="175"/>
      <c r="E366" s="175" t="e">
        <f>IF(B366="-","",INDEX('Inventaire M'!$A$2:$AW$9305,MATCH(B366,'Inventaire M'!$A:$A,0)-1,MATCH("Cours EUR",'Inventaire M'!#REF!,0)))</f>
        <v>#REF!</v>
      </c>
      <c r="F366" s="175" t="str">
        <f>IF(B366="-","",IF(ISERROR(INDEX('Inventaire M-1'!$A$2:$AZ$9320,MATCH(B366,'Inventaire M-1'!$A:$A,0)-1,MATCH("Cours EUR",'Inventaire M-1'!#REF!,0))),"Buy",INDEX('Inventaire M-1'!$A$2:$AZ$9320,MATCH(B366,'Inventaire M-1'!$A:$A,0)-1,MATCH("Cours EUR",'Inventaire M-1'!#REF!,0))))</f>
        <v>Buy</v>
      </c>
      <c r="G366" s="175"/>
      <c r="H366" s="156" t="e">
        <f>IF(B366="-","",INDEX('Inventaire M'!$A$2:$AW$9305,MATCH(B366,'Inventaire M'!$A:$A,0)-1,MATCH("quantite",'Inventaire M'!#REF!,0)))</f>
        <v>#REF!</v>
      </c>
      <c r="I366" s="156" t="str">
        <f>IF(C366="-","",IF(ISERROR(INDEX('Inventaire M-1'!$A$2:$AZ$9320,MATCH(B366,'Inventaire M-1'!$A:$A,0)-1,MATCH("quantite",'Inventaire M-1'!#REF!,0))),"Buy",INDEX('Inventaire M-1'!$A$2:$AZ$9320,MATCH(B366,'Inventaire M-1'!$A:$A,0)-1,MATCH("quantite",'Inventaire M-1'!#REF!,0))))</f>
        <v>Buy</v>
      </c>
      <c r="J366" s="175"/>
      <c r="K366" s="155" t="e">
        <f>IF(B366="-","",INDEX('Inventaire M'!$A$2:$AW$9305,MATCH(B366,'Inventaire M'!$A:$A,0)-1,MATCH("poids",'Inventaire M'!#REF!,0)))</f>
        <v>#REF!</v>
      </c>
      <c r="L366" s="155" t="str">
        <f>IF(B366="-","",IF(ISERROR(INDEX('Inventaire M-1'!$A$2:$AZ$9320,MATCH(B366,'Inventaire M-1'!$A:$A,0)-1,MATCH("poids",'Inventaire M-1'!#REF!,0))),"Buy",INDEX('Inventaire M-1'!$A$2:$AZ$9320,MATCH(B366,'Inventaire M-1'!$A:$A,0)-1,MATCH("poids",'Inventaire M-1'!#REF!,0))))</f>
        <v>Buy</v>
      </c>
      <c r="M366" s="175"/>
      <c r="N366" s="157" t="str">
        <f t="shared" si="36"/>
        <v>0</v>
      </c>
      <c r="O366" s="98" t="str">
        <f t="shared" si="37"/>
        <v/>
      </c>
      <c r="P366" s="80" t="str">
        <f t="shared" si="38"/>
        <v>OMNIA DELLA TOFFOLA SPA 05/11/2031</v>
      </c>
      <c r="Q366" s="75">
        <v>3.4200000000000002E-8</v>
      </c>
      <c r="R366" s="175" t="str">
        <f>IF(OR('Inventaire M-1'!D119="Dispo/Liquidité Investie",'Inventaire M-1'!D119="Option/Future",'Inventaire M-1'!D119="TCN",'Inventaire M-1'!D119=""),"-",'Inventaire M-1'!A119)</f>
        <v>XS2825597656</v>
      </c>
      <c r="S366" s="175" t="str">
        <f>IF(OR('Inventaire M-1'!D119="Dispo/Liquidité Investie",'Inventaire M-1'!D119="Option/Future",'Inventaire M-1'!D119="TCN",'Inventaire M-1'!D119=""),"-",'Inventaire M-1'!B119)</f>
        <v>OI EUROPEAN GROUP BV 5.25 01/06/2029</v>
      </c>
      <c r="T366" s="175"/>
      <c r="U366" s="175" t="e">
        <f>IF(R366="-","",INDEX('Inventaire M-1'!$A$2:$AG$9334,MATCH(R366,'Inventaire M-1'!$A:$A,0)-1,MATCH("Cours EUR",'Inventaire M-1'!#REF!,0)))</f>
        <v>#REF!</v>
      </c>
      <c r="V366" s="175" t="str">
        <f>IF(R366="-","",IF(ISERROR(INDEX('Inventaire M'!$A$2:$AD$9319,MATCH(R366,'Inventaire M'!$A:$A,0)-1,MATCH("Cours EUR",'Inventaire M'!#REF!,0))),"Sell",INDEX('Inventaire M'!$A$2:$AD$9319,MATCH(R366,'Inventaire M'!$A:$A,0)-1,MATCH("Cours EUR",'Inventaire M'!#REF!,0))))</f>
        <v>Sell</v>
      </c>
      <c r="W366" s="175"/>
      <c r="X366" s="156" t="e">
        <f>IF(R366="-","",INDEX('Inventaire M-1'!$A$2:$AG$9334,MATCH(R366,'Inventaire M-1'!$A:$A,0)-1,MATCH("quantite",'Inventaire M-1'!#REF!,0)))</f>
        <v>#REF!</v>
      </c>
      <c r="Y366" s="156" t="str">
        <f>IF(S366="-","",IF(ISERROR(INDEX('Inventaire M'!$A$2:$AD$9319,MATCH(R366,'Inventaire M'!$A:$A,0)-1,MATCH("quantite",'Inventaire M'!#REF!,0))),"Sell",INDEX('Inventaire M'!$A$2:$AD$9319,MATCH(R366,'Inventaire M'!$A:$A,0)-1,MATCH("quantite",'Inventaire M'!#REF!,0))))</f>
        <v>Sell</v>
      </c>
      <c r="Z366" s="175"/>
      <c r="AA366" s="155" t="e">
        <f>IF(R366="-","",INDEX('Inventaire M-1'!$A$2:$AG$9334,MATCH(R366,'Inventaire M-1'!$A:$A,0)-1,MATCH("poids",'Inventaire M-1'!#REF!,0)))</f>
        <v>#REF!</v>
      </c>
      <c r="AB366" s="155" t="str">
        <f>IF(R366="-","",IF(ISERROR(INDEX('Inventaire M'!$A$2:$AD$9319,MATCH(R366,'Inventaire M'!$A:$A,0)-1,MATCH("poids",'Inventaire M'!#REF!,0))),"Sell",INDEX('Inventaire M'!$A$2:$AD$9319,MATCH(R366,'Inventaire M'!$A:$A,0)-1,MATCH("poids",'Inventaire M'!#REF!,0))))</f>
        <v>Sell</v>
      </c>
      <c r="AC366" s="175"/>
      <c r="AD366" s="157" t="str">
        <f t="shared" si="39"/>
        <v>0</v>
      </c>
      <c r="AE366" s="98" t="str">
        <f t="shared" si="40"/>
        <v/>
      </c>
      <c r="AF366" s="80" t="str">
        <f t="shared" si="41"/>
        <v>OI EUROPEAN GROUP BV 5.25 01/06/2029</v>
      </c>
    </row>
    <row r="367" spans="2:32" outlineLevel="1">
      <c r="B367" s="175" t="str">
        <f>IF(OR('Inventaire M'!D145="Dispo/Liquidité Investie",'Inventaire M'!D145="Option/Future",'Inventaire M'!D145="TCN",'Inventaire M'!D145=""),"-",'Inventaire M'!A145)</f>
        <v>XS2933536034</v>
      </c>
      <c r="C367" s="175" t="str">
        <f>IF(OR('Inventaire M'!D145="Dispo/Liquidité Investie",'Inventaire M'!D145="Option/Future",'Inventaire M'!D145="TCN",'Inventaire M'!D145=""),"-",'Inventaire M'!B145)</f>
        <v>NEINOR HOMES SA 5.875 15/02/2030</v>
      </c>
      <c r="D367" s="175"/>
      <c r="E367" s="175" t="e">
        <f>IF(B367="-","",INDEX('Inventaire M'!$A$2:$AW$9305,MATCH(B367,'Inventaire M'!$A:$A,0)-1,MATCH("Cours EUR",'Inventaire M'!#REF!,0)))</f>
        <v>#REF!</v>
      </c>
      <c r="F367" s="175" t="str">
        <f>IF(B367="-","",IF(ISERROR(INDEX('Inventaire M-1'!$A$2:$AZ$9320,MATCH(B367,'Inventaire M-1'!$A:$A,0)-1,MATCH("Cours EUR",'Inventaire M-1'!#REF!,0))),"Buy",INDEX('Inventaire M-1'!$A$2:$AZ$9320,MATCH(B367,'Inventaire M-1'!$A:$A,0)-1,MATCH("Cours EUR",'Inventaire M-1'!#REF!,0))))</f>
        <v>Buy</v>
      </c>
      <c r="G367" s="175"/>
      <c r="H367" s="156" t="e">
        <f>IF(B367="-","",INDEX('Inventaire M'!$A$2:$AW$9305,MATCH(B367,'Inventaire M'!$A:$A,0)-1,MATCH("quantite",'Inventaire M'!#REF!,0)))</f>
        <v>#REF!</v>
      </c>
      <c r="I367" s="156" t="str">
        <f>IF(C367="-","",IF(ISERROR(INDEX('Inventaire M-1'!$A$2:$AZ$9320,MATCH(B367,'Inventaire M-1'!$A:$A,0)-1,MATCH("quantite",'Inventaire M-1'!#REF!,0))),"Buy",INDEX('Inventaire M-1'!$A$2:$AZ$9320,MATCH(B367,'Inventaire M-1'!$A:$A,0)-1,MATCH("quantite",'Inventaire M-1'!#REF!,0))))</f>
        <v>Buy</v>
      </c>
      <c r="J367" s="175"/>
      <c r="K367" s="155" t="e">
        <f>IF(B367="-","",INDEX('Inventaire M'!$A$2:$AW$9305,MATCH(B367,'Inventaire M'!$A:$A,0)-1,MATCH("poids",'Inventaire M'!#REF!,0)))</f>
        <v>#REF!</v>
      </c>
      <c r="L367" s="155" t="str">
        <f>IF(B367="-","",IF(ISERROR(INDEX('Inventaire M-1'!$A$2:$AZ$9320,MATCH(B367,'Inventaire M-1'!$A:$A,0)-1,MATCH("poids",'Inventaire M-1'!#REF!,0))),"Buy",INDEX('Inventaire M-1'!$A$2:$AZ$9320,MATCH(B367,'Inventaire M-1'!$A:$A,0)-1,MATCH("poids",'Inventaire M-1'!#REF!,0))))</f>
        <v>Buy</v>
      </c>
      <c r="M367" s="175"/>
      <c r="N367" s="157" t="str">
        <f t="shared" si="36"/>
        <v>0</v>
      </c>
      <c r="O367" s="98" t="str">
        <f t="shared" si="37"/>
        <v/>
      </c>
      <c r="P367" s="80" t="str">
        <f t="shared" si="38"/>
        <v>NEINOR HOMES SA 5.875 15/02/2030</v>
      </c>
      <c r="Q367" s="75">
        <v>3.4300000000000003E-8</v>
      </c>
      <c r="R367" s="175" t="str">
        <f>IF(OR('Inventaire M-1'!D120="Dispo/Liquidité Investie",'Inventaire M-1'!D120="Option/Future",'Inventaire M-1'!D120="TCN",'Inventaire M-1'!D120=""),"-",'Inventaire M-1'!A120)</f>
        <v>XS2826718087</v>
      </c>
      <c r="S367" s="175" t="str">
        <f>IF(OR('Inventaire M-1'!D120="Dispo/Liquidité Investie",'Inventaire M-1'!D120="Option/Future",'Inventaire M-1'!D120="TCN",'Inventaire M-1'!D120=""),"-",'Inventaire M-1'!B120)</f>
        <v>SAIPEM FINANCE INTERNATIONAL BV 4.875 30/05/2030</v>
      </c>
      <c r="T367" s="175"/>
      <c r="U367" s="175" t="e">
        <f>IF(R367="-","",INDEX('Inventaire M-1'!$A$2:$AG$9334,MATCH(R367,'Inventaire M-1'!$A:$A,0)-1,MATCH("Cours EUR",'Inventaire M-1'!#REF!,0)))</f>
        <v>#REF!</v>
      </c>
      <c r="V367" s="175" t="str">
        <f>IF(R367="-","",IF(ISERROR(INDEX('Inventaire M'!$A$2:$AD$9319,MATCH(R367,'Inventaire M'!$A:$A,0)-1,MATCH("Cours EUR",'Inventaire M'!#REF!,0))),"Sell",INDEX('Inventaire M'!$A$2:$AD$9319,MATCH(R367,'Inventaire M'!$A:$A,0)-1,MATCH("Cours EUR",'Inventaire M'!#REF!,0))))</f>
        <v>Sell</v>
      </c>
      <c r="W367" s="175"/>
      <c r="X367" s="156" t="e">
        <f>IF(R367="-","",INDEX('Inventaire M-1'!$A$2:$AG$9334,MATCH(R367,'Inventaire M-1'!$A:$A,0)-1,MATCH("quantite",'Inventaire M-1'!#REF!,0)))</f>
        <v>#REF!</v>
      </c>
      <c r="Y367" s="156" t="str">
        <f>IF(S367="-","",IF(ISERROR(INDEX('Inventaire M'!$A$2:$AD$9319,MATCH(R367,'Inventaire M'!$A:$A,0)-1,MATCH("quantite",'Inventaire M'!#REF!,0))),"Sell",INDEX('Inventaire M'!$A$2:$AD$9319,MATCH(R367,'Inventaire M'!$A:$A,0)-1,MATCH("quantite",'Inventaire M'!#REF!,0))))</f>
        <v>Sell</v>
      </c>
      <c r="Z367" s="175"/>
      <c r="AA367" s="155" t="e">
        <f>IF(R367="-","",INDEX('Inventaire M-1'!$A$2:$AG$9334,MATCH(R367,'Inventaire M-1'!$A:$A,0)-1,MATCH("poids",'Inventaire M-1'!#REF!,0)))</f>
        <v>#REF!</v>
      </c>
      <c r="AB367" s="155" t="str">
        <f>IF(R367="-","",IF(ISERROR(INDEX('Inventaire M'!$A$2:$AD$9319,MATCH(R367,'Inventaire M'!$A:$A,0)-1,MATCH("poids",'Inventaire M'!#REF!,0))),"Sell",INDEX('Inventaire M'!$A$2:$AD$9319,MATCH(R367,'Inventaire M'!$A:$A,0)-1,MATCH("poids",'Inventaire M'!#REF!,0))))</f>
        <v>Sell</v>
      </c>
      <c r="AC367" s="175"/>
      <c r="AD367" s="157" t="str">
        <f t="shared" si="39"/>
        <v>0</v>
      </c>
      <c r="AE367" s="98" t="str">
        <f t="shared" si="40"/>
        <v/>
      </c>
      <c r="AF367" s="80" t="str">
        <f t="shared" si="41"/>
        <v>SAIPEM FINANCE INTERNATIONAL BV 4.875 30/05/2030</v>
      </c>
    </row>
    <row r="368" spans="2:32" outlineLevel="1">
      <c r="B368" s="175" t="str">
        <f>IF(OR('Inventaire M'!D146="Dispo/Liquidité Investie",'Inventaire M'!D146="Option/Future",'Inventaire M'!D146="TCN",'Inventaire M'!D146=""),"-",'Inventaire M'!A146)</f>
        <v>XS2937174196</v>
      </c>
      <c r="C368" s="175" t="str">
        <f>IF(OR('Inventaire M'!D146="Dispo/Liquidité Investie",'Inventaire M'!D146="Option/Future",'Inventaire M'!D146="TCN",'Inventaire M'!D146=""),"-",'Inventaire M'!B146)</f>
        <v>GETLINK SE 4.125 15/04/2030</v>
      </c>
      <c r="D368" s="175"/>
      <c r="E368" s="175" t="e">
        <f>IF(B368="-","",INDEX('Inventaire M'!$A$2:$AW$9305,MATCH(B368,'Inventaire M'!$A:$A,0)-1,MATCH("Cours EUR",'Inventaire M'!#REF!,0)))</f>
        <v>#REF!</v>
      </c>
      <c r="F368" s="175" t="str">
        <f>IF(B368="-","",IF(ISERROR(INDEX('Inventaire M-1'!$A$2:$AZ$9320,MATCH(B368,'Inventaire M-1'!$A:$A,0)-1,MATCH("Cours EUR",'Inventaire M-1'!#REF!,0))),"Buy",INDEX('Inventaire M-1'!$A$2:$AZ$9320,MATCH(B368,'Inventaire M-1'!$A:$A,0)-1,MATCH("Cours EUR",'Inventaire M-1'!#REF!,0))))</f>
        <v>Buy</v>
      </c>
      <c r="G368" s="175"/>
      <c r="H368" s="156" t="e">
        <f>IF(B368="-","",INDEX('Inventaire M'!$A$2:$AW$9305,MATCH(B368,'Inventaire M'!$A:$A,0)-1,MATCH("quantite",'Inventaire M'!#REF!,0)))</f>
        <v>#REF!</v>
      </c>
      <c r="I368" s="156" t="str">
        <f>IF(C368="-","",IF(ISERROR(INDEX('Inventaire M-1'!$A$2:$AZ$9320,MATCH(B368,'Inventaire M-1'!$A:$A,0)-1,MATCH("quantite",'Inventaire M-1'!#REF!,0))),"Buy",INDEX('Inventaire M-1'!$A$2:$AZ$9320,MATCH(B368,'Inventaire M-1'!$A:$A,0)-1,MATCH("quantite",'Inventaire M-1'!#REF!,0))))</f>
        <v>Buy</v>
      </c>
      <c r="J368" s="175"/>
      <c r="K368" s="155" t="e">
        <f>IF(B368="-","",INDEX('Inventaire M'!$A$2:$AW$9305,MATCH(B368,'Inventaire M'!$A:$A,0)-1,MATCH("poids",'Inventaire M'!#REF!,0)))</f>
        <v>#REF!</v>
      </c>
      <c r="L368" s="155" t="str">
        <f>IF(B368="-","",IF(ISERROR(INDEX('Inventaire M-1'!$A$2:$AZ$9320,MATCH(B368,'Inventaire M-1'!$A:$A,0)-1,MATCH("poids",'Inventaire M-1'!#REF!,0))),"Buy",INDEX('Inventaire M-1'!$A$2:$AZ$9320,MATCH(B368,'Inventaire M-1'!$A:$A,0)-1,MATCH("poids",'Inventaire M-1'!#REF!,0))))</f>
        <v>Buy</v>
      </c>
      <c r="M368" s="175"/>
      <c r="N368" s="157" t="str">
        <f t="shared" si="36"/>
        <v>0</v>
      </c>
      <c r="O368" s="98" t="str">
        <f t="shared" si="37"/>
        <v/>
      </c>
      <c r="P368" s="80" t="str">
        <f t="shared" si="38"/>
        <v>GETLINK SE 4.125 15/04/2030</v>
      </c>
      <c r="Q368" s="75">
        <v>3.4399999999999997E-8</v>
      </c>
      <c r="R368" s="175" t="str">
        <f>IF(OR('Inventaire M-1'!D121="Dispo/Liquidité Investie",'Inventaire M-1'!D121="Option/Future",'Inventaire M-1'!D121="TCN",'Inventaire M-1'!D121=""),"-",'Inventaire M-1'!A121)</f>
        <v>XS2834242435</v>
      </c>
      <c r="S368" s="175" t="str">
        <f>IF(OR('Inventaire M-1'!D121="Dispo/Liquidité Investie",'Inventaire M-1'!D121="Option/Future",'Inventaire M-1'!D121="TCN",'Inventaire M-1'!D121=""),"-",'Inventaire M-1'!B121)</f>
        <v>PLT VII FINANCE SARL 6 15/06/2031</v>
      </c>
      <c r="T368" s="175"/>
      <c r="U368" s="175" t="e">
        <f>IF(R368="-","",INDEX('Inventaire M-1'!$A$2:$AG$9334,MATCH(R368,'Inventaire M-1'!$A:$A,0)-1,MATCH("Cours EUR",'Inventaire M-1'!#REF!,0)))</f>
        <v>#REF!</v>
      </c>
      <c r="V368" s="175" t="str">
        <f>IF(R368="-","",IF(ISERROR(INDEX('Inventaire M'!$A$2:$AD$9319,MATCH(R368,'Inventaire M'!$A:$A,0)-1,MATCH("Cours EUR",'Inventaire M'!#REF!,0))),"Sell",INDEX('Inventaire M'!$A$2:$AD$9319,MATCH(R368,'Inventaire M'!$A:$A,0)-1,MATCH("Cours EUR",'Inventaire M'!#REF!,0))))</f>
        <v>Sell</v>
      </c>
      <c r="W368" s="175"/>
      <c r="X368" s="156" t="e">
        <f>IF(R368="-","",INDEX('Inventaire M-1'!$A$2:$AG$9334,MATCH(R368,'Inventaire M-1'!$A:$A,0)-1,MATCH("quantite",'Inventaire M-1'!#REF!,0)))</f>
        <v>#REF!</v>
      </c>
      <c r="Y368" s="156" t="str">
        <f>IF(S368="-","",IF(ISERROR(INDEX('Inventaire M'!$A$2:$AD$9319,MATCH(R368,'Inventaire M'!$A:$A,0)-1,MATCH("quantite",'Inventaire M'!#REF!,0))),"Sell",INDEX('Inventaire M'!$A$2:$AD$9319,MATCH(R368,'Inventaire M'!$A:$A,0)-1,MATCH("quantite",'Inventaire M'!#REF!,0))))</f>
        <v>Sell</v>
      </c>
      <c r="Z368" s="175"/>
      <c r="AA368" s="155" t="e">
        <f>IF(R368="-","",INDEX('Inventaire M-1'!$A$2:$AG$9334,MATCH(R368,'Inventaire M-1'!$A:$A,0)-1,MATCH("poids",'Inventaire M-1'!#REF!,0)))</f>
        <v>#REF!</v>
      </c>
      <c r="AB368" s="155" t="str">
        <f>IF(R368="-","",IF(ISERROR(INDEX('Inventaire M'!$A$2:$AD$9319,MATCH(R368,'Inventaire M'!$A:$A,0)-1,MATCH("poids",'Inventaire M'!#REF!,0))),"Sell",INDEX('Inventaire M'!$A$2:$AD$9319,MATCH(R368,'Inventaire M'!$A:$A,0)-1,MATCH("poids",'Inventaire M'!#REF!,0))))</f>
        <v>Sell</v>
      </c>
      <c r="AC368" s="175"/>
      <c r="AD368" s="157" t="str">
        <f t="shared" si="39"/>
        <v>0</v>
      </c>
      <c r="AE368" s="98" t="str">
        <f t="shared" si="40"/>
        <v/>
      </c>
      <c r="AF368" s="80" t="str">
        <f t="shared" si="41"/>
        <v>PLT VII FINANCE SARL 6 15/06/2031</v>
      </c>
    </row>
    <row r="369" spans="2:32" outlineLevel="1">
      <c r="B369" s="175" t="str">
        <f>IF(OR('Inventaire M'!D147="Dispo/Liquidité Investie",'Inventaire M'!D147="Option/Future",'Inventaire M'!D147="TCN",'Inventaire M'!D147=""),"-",'Inventaire M'!A147)</f>
        <v>XS2937255193</v>
      </c>
      <c r="C369" s="175" t="str">
        <f>IF(OR('Inventaire M'!D147="Dispo/Liquidité Investie",'Inventaire M'!D147="Option/Future",'Inventaire M'!D147="TCN",'Inventaire M'!D147=""),"-",'Inventaire M'!B147)</f>
        <v>ABERTIS INFRAESTRUCTURAS FINANCE B PERP</v>
      </c>
      <c r="D369" s="175"/>
      <c r="E369" s="175" t="e">
        <f>IF(B369="-","",INDEX('Inventaire M'!$A$2:$AW$9305,MATCH(B369,'Inventaire M'!$A:$A,0)-1,MATCH("Cours EUR",'Inventaire M'!#REF!,0)))</f>
        <v>#REF!</v>
      </c>
      <c r="F369" s="175" t="str">
        <f>IF(B369="-","",IF(ISERROR(INDEX('Inventaire M-1'!$A$2:$AZ$9320,MATCH(B369,'Inventaire M-1'!$A:$A,0)-1,MATCH("Cours EUR",'Inventaire M-1'!#REF!,0))),"Buy",INDEX('Inventaire M-1'!$A$2:$AZ$9320,MATCH(B369,'Inventaire M-1'!$A:$A,0)-1,MATCH("Cours EUR",'Inventaire M-1'!#REF!,0))))</f>
        <v>Buy</v>
      </c>
      <c r="G369" s="175"/>
      <c r="H369" s="156" t="e">
        <f>IF(B369="-","",INDEX('Inventaire M'!$A$2:$AW$9305,MATCH(B369,'Inventaire M'!$A:$A,0)-1,MATCH("quantite",'Inventaire M'!#REF!,0)))</f>
        <v>#REF!</v>
      </c>
      <c r="I369" s="156" t="str">
        <f>IF(C369="-","",IF(ISERROR(INDEX('Inventaire M-1'!$A$2:$AZ$9320,MATCH(B369,'Inventaire M-1'!$A:$A,0)-1,MATCH("quantite",'Inventaire M-1'!#REF!,0))),"Buy",INDEX('Inventaire M-1'!$A$2:$AZ$9320,MATCH(B369,'Inventaire M-1'!$A:$A,0)-1,MATCH("quantite",'Inventaire M-1'!#REF!,0))))</f>
        <v>Buy</v>
      </c>
      <c r="J369" s="175"/>
      <c r="K369" s="155" t="e">
        <f>IF(B369="-","",INDEX('Inventaire M'!$A$2:$AW$9305,MATCH(B369,'Inventaire M'!$A:$A,0)-1,MATCH("poids",'Inventaire M'!#REF!,0)))</f>
        <v>#REF!</v>
      </c>
      <c r="L369" s="155" t="str">
        <f>IF(B369="-","",IF(ISERROR(INDEX('Inventaire M-1'!$A$2:$AZ$9320,MATCH(B369,'Inventaire M-1'!$A:$A,0)-1,MATCH("poids",'Inventaire M-1'!#REF!,0))),"Buy",INDEX('Inventaire M-1'!$A$2:$AZ$9320,MATCH(B369,'Inventaire M-1'!$A:$A,0)-1,MATCH("poids",'Inventaire M-1'!#REF!,0))))</f>
        <v>Buy</v>
      </c>
      <c r="M369" s="175"/>
      <c r="N369" s="157" t="str">
        <f t="shared" si="36"/>
        <v>0</v>
      </c>
      <c r="O369" s="98" t="str">
        <f t="shared" si="37"/>
        <v/>
      </c>
      <c r="P369" s="80" t="str">
        <f t="shared" si="38"/>
        <v>ABERTIS INFRAESTRUCTURAS FINANCE B PERP</v>
      </c>
      <c r="Q369" s="75">
        <v>3.4499999999999998E-8</v>
      </c>
      <c r="R369" s="175" t="str">
        <f>IF(OR('Inventaire M-1'!D122="Dispo/Liquidité Investie",'Inventaire M-1'!D122="Option/Future",'Inventaire M-1'!D122="TCN",'Inventaire M-1'!D122=""),"-",'Inventaire M-1'!A122)</f>
        <v>XS2844404710</v>
      </c>
      <c r="S369" s="175" t="str">
        <f>IF(OR('Inventaire M-1'!D122="Dispo/Liquidité Investie",'Inventaire M-1'!D122="Option/Future",'Inventaire M-1'!D122="TCN",'Inventaire M-1'!D122=""),"-",'Inventaire M-1'!B122)</f>
        <v>IPD 3 BV 15/06/2031</v>
      </c>
      <c r="T369" s="175"/>
      <c r="U369" s="175" t="e">
        <f>IF(R369="-","",INDEX('Inventaire M-1'!$A$2:$AG$9334,MATCH(R369,'Inventaire M-1'!$A:$A,0)-1,MATCH("Cours EUR",'Inventaire M-1'!#REF!,0)))</f>
        <v>#REF!</v>
      </c>
      <c r="V369" s="175" t="str">
        <f>IF(R369="-","",IF(ISERROR(INDEX('Inventaire M'!$A$2:$AD$9319,MATCH(R369,'Inventaire M'!$A:$A,0)-1,MATCH("Cours EUR",'Inventaire M'!#REF!,0))),"Sell",INDEX('Inventaire M'!$A$2:$AD$9319,MATCH(R369,'Inventaire M'!$A:$A,0)-1,MATCH("Cours EUR",'Inventaire M'!#REF!,0))))</f>
        <v>Sell</v>
      </c>
      <c r="W369" s="175"/>
      <c r="X369" s="156" t="e">
        <f>IF(R369="-","",INDEX('Inventaire M-1'!$A$2:$AG$9334,MATCH(R369,'Inventaire M-1'!$A:$A,0)-1,MATCH("quantite",'Inventaire M-1'!#REF!,0)))</f>
        <v>#REF!</v>
      </c>
      <c r="Y369" s="156" t="str">
        <f>IF(S369="-","",IF(ISERROR(INDEX('Inventaire M'!$A$2:$AD$9319,MATCH(R369,'Inventaire M'!$A:$A,0)-1,MATCH("quantite",'Inventaire M'!#REF!,0))),"Sell",INDEX('Inventaire M'!$A$2:$AD$9319,MATCH(R369,'Inventaire M'!$A:$A,0)-1,MATCH("quantite",'Inventaire M'!#REF!,0))))</f>
        <v>Sell</v>
      </c>
      <c r="Z369" s="175"/>
      <c r="AA369" s="155" t="e">
        <f>IF(R369="-","",INDEX('Inventaire M-1'!$A$2:$AG$9334,MATCH(R369,'Inventaire M-1'!$A:$A,0)-1,MATCH("poids",'Inventaire M-1'!#REF!,0)))</f>
        <v>#REF!</v>
      </c>
      <c r="AB369" s="155" t="str">
        <f>IF(R369="-","",IF(ISERROR(INDEX('Inventaire M'!$A$2:$AD$9319,MATCH(R369,'Inventaire M'!$A:$A,0)-1,MATCH("poids",'Inventaire M'!#REF!,0))),"Sell",INDEX('Inventaire M'!$A$2:$AD$9319,MATCH(R369,'Inventaire M'!$A:$A,0)-1,MATCH("poids",'Inventaire M'!#REF!,0))))</f>
        <v>Sell</v>
      </c>
      <c r="AC369" s="175"/>
      <c r="AD369" s="157" t="str">
        <f t="shared" si="39"/>
        <v>0</v>
      </c>
      <c r="AE369" s="98" t="str">
        <f t="shared" si="40"/>
        <v/>
      </c>
      <c r="AF369" s="80" t="str">
        <f t="shared" si="41"/>
        <v>IPD 3 BV 15/06/2031</v>
      </c>
    </row>
    <row r="370" spans="2:32" outlineLevel="1">
      <c r="B370" s="175" t="str">
        <f>IF(OR('Inventaire M'!D148="Dispo/Liquidité Investie",'Inventaire M'!D148="Option/Future",'Inventaire M'!D148="TCN",'Inventaire M'!D148=""),"-",'Inventaire M'!A148)</f>
        <v>XS2954187378</v>
      </c>
      <c r="C370" s="175" t="str">
        <f>IF(OR('Inventaire M'!D148="Dispo/Liquidité Investie",'Inventaire M'!D148="Option/Future",'Inventaire M'!D148="TCN",'Inventaire M'!D148=""),"-",'Inventaire M'!B148)</f>
        <v>ASMODEE GROUP AB 5.75 15/12/2029</v>
      </c>
      <c r="D370" s="175"/>
      <c r="E370" s="175" t="e">
        <f>IF(B370="-","",INDEX('Inventaire M'!$A$2:$AW$9305,MATCH(B370,'Inventaire M'!$A:$A,0)-1,MATCH("Cours EUR",'Inventaire M'!#REF!,0)))</f>
        <v>#REF!</v>
      </c>
      <c r="F370" s="175" t="str">
        <f>IF(B370="-","",IF(ISERROR(INDEX('Inventaire M-1'!$A$2:$AZ$9320,MATCH(B370,'Inventaire M-1'!$A:$A,0)-1,MATCH("Cours EUR",'Inventaire M-1'!#REF!,0))),"Buy",INDEX('Inventaire M-1'!$A$2:$AZ$9320,MATCH(B370,'Inventaire M-1'!$A:$A,0)-1,MATCH("Cours EUR",'Inventaire M-1'!#REF!,0))))</f>
        <v>Buy</v>
      </c>
      <c r="G370" s="175"/>
      <c r="H370" s="156" t="e">
        <f>IF(B370="-","",INDEX('Inventaire M'!$A$2:$AW$9305,MATCH(B370,'Inventaire M'!$A:$A,0)-1,MATCH("quantite",'Inventaire M'!#REF!,0)))</f>
        <v>#REF!</v>
      </c>
      <c r="I370" s="156" t="str">
        <f>IF(C370="-","",IF(ISERROR(INDEX('Inventaire M-1'!$A$2:$AZ$9320,MATCH(B370,'Inventaire M-1'!$A:$A,0)-1,MATCH("quantite",'Inventaire M-1'!#REF!,0))),"Buy",INDEX('Inventaire M-1'!$A$2:$AZ$9320,MATCH(B370,'Inventaire M-1'!$A:$A,0)-1,MATCH("quantite",'Inventaire M-1'!#REF!,0))))</f>
        <v>Buy</v>
      </c>
      <c r="J370" s="175"/>
      <c r="K370" s="155" t="e">
        <f>IF(B370="-","",INDEX('Inventaire M'!$A$2:$AW$9305,MATCH(B370,'Inventaire M'!$A:$A,0)-1,MATCH("poids",'Inventaire M'!#REF!,0)))</f>
        <v>#REF!</v>
      </c>
      <c r="L370" s="155" t="str">
        <f>IF(B370="-","",IF(ISERROR(INDEX('Inventaire M-1'!$A$2:$AZ$9320,MATCH(B370,'Inventaire M-1'!$A:$A,0)-1,MATCH("poids",'Inventaire M-1'!#REF!,0))),"Buy",INDEX('Inventaire M-1'!$A$2:$AZ$9320,MATCH(B370,'Inventaire M-1'!$A:$A,0)-1,MATCH("poids",'Inventaire M-1'!#REF!,0))))</f>
        <v>Buy</v>
      </c>
      <c r="M370" s="175"/>
      <c r="N370" s="157" t="str">
        <f t="shared" si="36"/>
        <v>0</v>
      </c>
      <c r="O370" s="98" t="str">
        <f t="shared" si="37"/>
        <v/>
      </c>
      <c r="P370" s="80" t="str">
        <f t="shared" si="38"/>
        <v>ASMODEE GROUP AB 5.75 15/12/2029</v>
      </c>
      <c r="Q370" s="75">
        <v>3.4599999999999999E-8</v>
      </c>
      <c r="R370" s="175" t="str">
        <f>IF(OR('Inventaire M-1'!D123="Dispo/Liquidité Investie",'Inventaire M-1'!D123="Option/Future",'Inventaire M-1'!D123="TCN",'Inventaire M-1'!D123=""),"-",'Inventaire M-1'!A123)</f>
        <v>XS2845183495</v>
      </c>
      <c r="S370" s="175" t="str">
        <f>IF(OR('Inventaire M-1'!D123="Dispo/Liquidité Investie",'Inventaire M-1'!D123="Option/Future",'Inventaire M-1'!D123="TCN",'Inventaire M-1'!D123=""),"-",'Inventaire M-1'!B123)</f>
        <v>TVL FINANCE PLC 30/06/2030</v>
      </c>
      <c r="T370" s="175"/>
      <c r="U370" s="175" t="e">
        <f>IF(R370="-","",INDEX('Inventaire M-1'!$A$2:$AG$9334,MATCH(R370,'Inventaire M-1'!$A:$A,0)-1,MATCH("Cours EUR",'Inventaire M-1'!#REF!,0)))</f>
        <v>#REF!</v>
      </c>
      <c r="V370" s="175" t="str">
        <f>IF(R370="-","",IF(ISERROR(INDEX('Inventaire M'!$A$2:$AD$9319,MATCH(R370,'Inventaire M'!$A:$A,0)-1,MATCH("Cours EUR",'Inventaire M'!#REF!,0))),"Sell",INDEX('Inventaire M'!$A$2:$AD$9319,MATCH(R370,'Inventaire M'!$A:$A,0)-1,MATCH("Cours EUR",'Inventaire M'!#REF!,0))))</f>
        <v>Sell</v>
      </c>
      <c r="W370" s="175"/>
      <c r="X370" s="156" t="e">
        <f>IF(R370="-","",INDEX('Inventaire M-1'!$A$2:$AG$9334,MATCH(R370,'Inventaire M-1'!$A:$A,0)-1,MATCH("quantite",'Inventaire M-1'!#REF!,0)))</f>
        <v>#REF!</v>
      </c>
      <c r="Y370" s="156" t="str">
        <f>IF(S370="-","",IF(ISERROR(INDEX('Inventaire M'!$A$2:$AD$9319,MATCH(R370,'Inventaire M'!$A:$A,0)-1,MATCH("quantite",'Inventaire M'!#REF!,0))),"Sell",INDEX('Inventaire M'!$A$2:$AD$9319,MATCH(R370,'Inventaire M'!$A:$A,0)-1,MATCH("quantite",'Inventaire M'!#REF!,0))))</f>
        <v>Sell</v>
      </c>
      <c r="Z370" s="175"/>
      <c r="AA370" s="155" t="e">
        <f>IF(R370="-","",INDEX('Inventaire M-1'!$A$2:$AG$9334,MATCH(R370,'Inventaire M-1'!$A:$A,0)-1,MATCH("poids",'Inventaire M-1'!#REF!,0)))</f>
        <v>#REF!</v>
      </c>
      <c r="AB370" s="155" t="str">
        <f>IF(R370="-","",IF(ISERROR(INDEX('Inventaire M'!$A$2:$AD$9319,MATCH(R370,'Inventaire M'!$A:$A,0)-1,MATCH("poids",'Inventaire M'!#REF!,0))),"Sell",INDEX('Inventaire M'!$A$2:$AD$9319,MATCH(R370,'Inventaire M'!$A:$A,0)-1,MATCH("poids",'Inventaire M'!#REF!,0))))</f>
        <v>Sell</v>
      </c>
      <c r="AC370" s="175"/>
      <c r="AD370" s="157" t="str">
        <f t="shared" si="39"/>
        <v>0</v>
      </c>
      <c r="AE370" s="98" t="str">
        <f t="shared" si="40"/>
        <v/>
      </c>
      <c r="AF370" s="80" t="str">
        <f t="shared" si="41"/>
        <v>TVL FINANCE PLC 30/06/2030</v>
      </c>
    </row>
    <row r="371" spans="2:32" outlineLevel="1">
      <c r="B371" s="175" t="str">
        <f>IF(OR('Inventaire M'!D149="Dispo/Liquidité Investie",'Inventaire M'!D149="Option/Future",'Inventaire M'!D149="TCN",'Inventaire M'!D149=""),"-",'Inventaire M'!A149)</f>
        <v>XS2961445090</v>
      </c>
      <c r="C371" s="175" t="str">
        <f>IF(OR('Inventaire M'!D149="Dispo/Liquidité Investie",'Inventaire M'!D149="Option/Future",'Inventaire M'!D149="TCN",'Inventaire M'!D149=""),"-",'Inventaire M'!B149)</f>
        <v>GRIFOLS SA 7.125 01/05/2030</v>
      </c>
      <c r="D371" s="175"/>
      <c r="E371" s="175" t="e">
        <f>IF(B371="-","",INDEX('Inventaire M'!$A$2:$AW$9305,MATCH(B371,'Inventaire M'!$A:$A,0)-1,MATCH("Cours EUR",'Inventaire M'!#REF!,0)))</f>
        <v>#REF!</v>
      </c>
      <c r="F371" s="175" t="str">
        <f>IF(B371="-","",IF(ISERROR(INDEX('Inventaire M-1'!$A$2:$AZ$9320,MATCH(B371,'Inventaire M-1'!$A:$A,0)-1,MATCH("Cours EUR",'Inventaire M-1'!#REF!,0))),"Buy",INDEX('Inventaire M-1'!$A$2:$AZ$9320,MATCH(B371,'Inventaire M-1'!$A:$A,0)-1,MATCH("Cours EUR",'Inventaire M-1'!#REF!,0))))</f>
        <v>Buy</v>
      </c>
      <c r="G371" s="175"/>
      <c r="H371" s="156" t="e">
        <f>IF(B371="-","",INDEX('Inventaire M'!$A$2:$AW$9305,MATCH(B371,'Inventaire M'!$A:$A,0)-1,MATCH("quantite",'Inventaire M'!#REF!,0)))</f>
        <v>#REF!</v>
      </c>
      <c r="I371" s="156" t="str">
        <f>IF(C371="-","",IF(ISERROR(INDEX('Inventaire M-1'!$A$2:$AZ$9320,MATCH(B371,'Inventaire M-1'!$A:$A,0)-1,MATCH("quantite",'Inventaire M-1'!#REF!,0))),"Buy",INDEX('Inventaire M-1'!$A$2:$AZ$9320,MATCH(B371,'Inventaire M-1'!$A:$A,0)-1,MATCH("quantite",'Inventaire M-1'!#REF!,0))))</f>
        <v>Buy</v>
      </c>
      <c r="J371" s="175"/>
      <c r="K371" s="155" t="e">
        <f>IF(B371="-","",INDEX('Inventaire M'!$A$2:$AW$9305,MATCH(B371,'Inventaire M'!$A:$A,0)-1,MATCH("poids",'Inventaire M'!#REF!,0)))</f>
        <v>#REF!</v>
      </c>
      <c r="L371" s="155" t="str">
        <f>IF(B371="-","",IF(ISERROR(INDEX('Inventaire M-1'!$A$2:$AZ$9320,MATCH(B371,'Inventaire M-1'!$A:$A,0)-1,MATCH("poids",'Inventaire M-1'!#REF!,0))),"Buy",INDEX('Inventaire M-1'!$A$2:$AZ$9320,MATCH(B371,'Inventaire M-1'!$A:$A,0)-1,MATCH("poids",'Inventaire M-1'!#REF!,0))))</f>
        <v>Buy</v>
      </c>
      <c r="M371" s="175"/>
      <c r="N371" s="157" t="str">
        <f t="shared" si="36"/>
        <v>0</v>
      </c>
      <c r="O371" s="98" t="str">
        <f t="shared" si="37"/>
        <v/>
      </c>
      <c r="P371" s="80" t="str">
        <f t="shared" si="38"/>
        <v>GRIFOLS SA 7.125 01/05/2030</v>
      </c>
      <c r="Q371" s="75">
        <v>3.47E-8</v>
      </c>
      <c r="R371" s="175" t="str">
        <f>IF(OR('Inventaire M-1'!D124="Dispo/Liquidité Investie",'Inventaire M-1'!D124="Option/Future",'Inventaire M-1'!D124="TCN",'Inventaire M-1'!D124=""),"-",'Inventaire M-1'!A124)</f>
        <v>XS2852970016</v>
      </c>
      <c r="S371" s="175" t="str">
        <f>IF(OR('Inventaire M-1'!D124="Dispo/Liquidité Investie",'Inventaire M-1'!D124="Option/Future",'Inventaire M-1'!D124="TCN",'Inventaire M-1'!D124=""),"-",'Inventaire M-1'!B124)</f>
        <v>PICARD GROUPE SAS 6.375 01/07/2029</v>
      </c>
      <c r="T371" s="175"/>
      <c r="U371" s="175" t="e">
        <f>IF(R371="-","",INDEX('Inventaire M-1'!$A$2:$AG$9334,MATCH(R371,'Inventaire M-1'!$A:$A,0)-1,MATCH("Cours EUR",'Inventaire M-1'!#REF!,0)))</f>
        <v>#REF!</v>
      </c>
      <c r="V371" s="175" t="str">
        <f>IF(R371="-","",IF(ISERROR(INDEX('Inventaire M'!$A$2:$AD$9319,MATCH(R371,'Inventaire M'!$A:$A,0)-1,MATCH("Cours EUR",'Inventaire M'!#REF!,0))),"Sell",INDEX('Inventaire M'!$A$2:$AD$9319,MATCH(R371,'Inventaire M'!$A:$A,0)-1,MATCH("Cours EUR",'Inventaire M'!#REF!,0))))</f>
        <v>Sell</v>
      </c>
      <c r="W371" s="175"/>
      <c r="X371" s="156" t="e">
        <f>IF(R371="-","",INDEX('Inventaire M-1'!$A$2:$AG$9334,MATCH(R371,'Inventaire M-1'!$A:$A,0)-1,MATCH("quantite",'Inventaire M-1'!#REF!,0)))</f>
        <v>#REF!</v>
      </c>
      <c r="Y371" s="156" t="str">
        <f>IF(S371="-","",IF(ISERROR(INDEX('Inventaire M'!$A$2:$AD$9319,MATCH(R371,'Inventaire M'!$A:$A,0)-1,MATCH("quantite",'Inventaire M'!#REF!,0))),"Sell",INDEX('Inventaire M'!$A$2:$AD$9319,MATCH(R371,'Inventaire M'!$A:$A,0)-1,MATCH("quantite",'Inventaire M'!#REF!,0))))</f>
        <v>Sell</v>
      </c>
      <c r="Z371" s="175"/>
      <c r="AA371" s="155" t="e">
        <f>IF(R371="-","",INDEX('Inventaire M-1'!$A$2:$AG$9334,MATCH(R371,'Inventaire M-1'!$A:$A,0)-1,MATCH("poids",'Inventaire M-1'!#REF!,0)))</f>
        <v>#REF!</v>
      </c>
      <c r="AB371" s="155" t="str">
        <f>IF(R371="-","",IF(ISERROR(INDEX('Inventaire M'!$A$2:$AD$9319,MATCH(R371,'Inventaire M'!$A:$A,0)-1,MATCH("poids",'Inventaire M'!#REF!,0))),"Sell",INDEX('Inventaire M'!$A$2:$AD$9319,MATCH(R371,'Inventaire M'!$A:$A,0)-1,MATCH("poids",'Inventaire M'!#REF!,0))))</f>
        <v>Sell</v>
      </c>
      <c r="AC371" s="175"/>
      <c r="AD371" s="157" t="str">
        <f t="shared" si="39"/>
        <v>0</v>
      </c>
      <c r="AE371" s="98" t="str">
        <f t="shared" si="40"/>
        <v/>
      </c>
      <c r="AF371" s="80" t="str">
        <f t="shared" si="41"/>
        <v>PICARD GROUPE SAS 6.375 01/07/2029</v>
      </c>
    </row>
    <row r="372" spans="2:32" outlineLevel="1">
      <c r="B372" s="175" t="str">
        <f>IF(OR('Inventaire M'!D150="Dispo/Liquidité Investie",'Inventaire M'!D150="Option/Future",'Inventaire M'!D150="TCN",'Inventaire M'!D150=""),"-",'Inventaire M'!A150)</f>
        <v>XS2962827072</v>
      </c>
      <c r="C372" s="175" t="str">
        <f>IF(OR('Inventaire M'!D150="Dispo/Liquidité Investie",'Inventaire M'!D150="Option/Future",'Inventaire M'!D150="TCN",'Inventaire M'!D150=""),"-",'Inventaire M'!B150)</f>
        <v>SAMHALLSBYGGNADSBOLAGET I NORDEN H 1.125 26/09/2029</v>
      </c>
      <c r="D372" s="175"/>
      <c r="E372" s="175" t="e">
        <f>IF(B372="-","",INDEX('Inventaire M'!$A$2:$AW$9305,MATCH(B372,'Inventaire M'!$A:$A,0)-1,MATCH("Cours EUR",'Inventaire M'!#REF!,0)))</f>
        <v>#REF!</v>
      </c>
      <c r="F372" s="175" t="str">
        <f>IF(B372="-","",IF(ISERROR(INDEX('Inventaire M-1'!$A$2:$AZ$9320,MATCH(B372,'Inventaire M-1'!$A:$A,0)-1,MATCH("Cours EUR",'Inventaire M-1'!#REF!,0))),"Buy",INDEX('Inventaire M-1'!$A$2:$AZ$9320,MATCH(B372,'Inventaire M-1'!$A:$A,0)-1,MATCH("Cours EUR",'Inventaire M-1'!#REF!,0))))</f>
        <v>Buy</v>
      </c>
      <c r="G372" s="175"/>
      <c r="H372" s="156" t="e">
        <f>IF(B372="-","",INDEX('Inventaire M'!$A$2:$AW$9305,MATCH(B372,'Inventaire M'!$A:$A,0)-1,MATCH("quantite",'Inventaire M'!#REF!,0)))</f>
        <v>#REF!</v>
      </c>
      <c r="I372" s="156" t="str">
        <f>IF(C372="-","",IF(ISERROR(INDEX('Inventaire M-1'!$A$2:$AZ$9320,MATCH(B372,'Inventaire M-1'!$A:$A,0)-1,MATCH("quantite",'Inventaire M-1'!#REF!,0))),"Buy",INDEX('Inventaire M-1'!$A$2:$AZ$9320,MATCH(B372,'Inventaire M-1'!$A:$A,0)-1,MATCH("quantite",'Inventaire M-1'!#REF!,0))))</f>
        <v>Buy</v>
      </c>
      <c r="J372" s="175"/>
      <c r="K372" s="155" t="e">
        <f>IF(B372="-","",INDEX('Inventaire M'!$A$2:$AW$9305,MATCH(B372,'Inventaire M'!$A:$A,0)-1,MATCH("poids",'Inventaire M'!#REF!,0)))</f>
        <v>#REF!</v>
      </c>
      <c r="L372" s="155" t="str">
        <f>IF(B372="-","",IF(ISERROR(INDEX('Inventaire M-1'!$A$2:$AZ$9320,MATCH(B372,'Inventaire M-1'!$A:$A,0)-1,MATCH("poids",'Inventaire M-1'!#REF!,0))),"Buy",INDEX('Inventaire M-1'!$A$2:$AZ$9320,MATCH(B372,'Inventaire M-1'!$A:$A,0)-1,MATCH("poids",'Inventaire M-1'!#REF!,0))))</f>
        <v>Buy</v>
      </c>
      <c r="M372" s="175"/>
      <c r="N372" s="157" t="str">
        <f t="shared" si="36"/>
        <v>0</v>
      </c>
      <c r="O372" s="98" t="str">
        <f t="shared" si="37"/>
        <v/>
      </c>
      <c r="P372" s="80" t="str">
        <f t="shared" si="38"/>
        <v>SAMHALLSBYGGNADSBOLAGET I NORDEN H 1.125 26/09/2029</v>
      </c>
      <c r="Q372" s="75">
        <v>3.4800000000000001E-8</v>
      </c>
      <c r="R372" s="175" t="str">
        <f>IF(OR('Inventaire M-1'!D125="Dispo/Liquidité Investie",'Inventaire M-1'!D125="Option/Future",'Inventaire M-1'!D125="TCN",'Inventaire M-1'!D125=""),"-",'Inventaire M-1'!A125)</f>
        <v>XS2854277626</v>
      </c>
      <c r="S372" s="175" t="str">
        <f>IF(OR('Inventaire M-1'!D125="Dispo/Liquidité Investie",'Inventaire M-1'!D125="Option/Future",'Inventaire M-1'!D125="TCN",'Inventaire M-1'!D125=""),"-",'Inventaire M-1'!B125)</f>
        <v>RAY FINANCING LLC 6.5 15/07/2031</v>
      </c>
      <c r="T372" s="175"/>
      <c r="U372" s="175" t="e">
        <f>IF(R372="-","",INDEX('Inventaire M-1'!$A$2:$AG$9334,MATCH(R372,'Inventaire M-1'!$A:$A,0)-1,MATCH("Cours EUR",'Inventaire M-1'!#REF!,0)))</f>
        <v>#REF!</v>
      </c>
      <c r="V372" s="175" t="str">
        <f>IF(R372="-","",IF(ISERROR(INDEX('Inventaire M'!$A$2:$AD$9319,MATCH(R372,'Inventaire M'!$A:$A,0)-1,MATCH("Cours EUR",'Inventaire M'!#REF!,0))),"Sell",INDEX('Inventaire M'!$A$2:$AD$9319,MATCH(R372,'Inventaire M'!$A:$A,0)-1,MATCH("Cours EUR",'Inventaire M'!#REF!,0))))</f>
        <v>Sell</v>
      </c>
      <c r="W372" s="175"/>
      <c r="X372" s="156" t="e">
        <f>IF(R372="-","",INDEX('Inventaire M-1'!$A$2:$AG$9334,MATCH(R372,'Inventaire M-1'!$A:$A,0)-1,MATCH("quantite",'Inventaire M-1'!#REF!,0)))</f>
        <v>#REF!</v>
      </c>
      <c r="Y372" s="156" t="str">
        <f>IF(S372="-","",IF(ISERROR(INDEX('Inventaire M'!$A$2:$AD$9319,MATCH(R372,'Inventaire M'!$A:$A,0)-1,MATCH("quantite",'Inventaire M'!#REF!,0))),"Sell",INDEX('Inventaire M'!$A$2:$AD$9319,MATCH(R372,'Inventaire M'!$A:$A,0)-1,MATCH("quantite",'Inventaire M'!#REF!,0))))</f>
        <v>Sell</v>
      </c>
      <c r="Z372" s="175"/>
      <c r="AA372" s="155" t="e">
        <f>IF(R372="-","",INDEX('Inventaire M-1'!$A$2:$AG$9334,MATCH(R372,'Inventaire M-1'!$A:$A,0)-1,MATCH("poids",'Inventaire M-1'!#REF!,0)))</f>
        <v>#REF!</v>
      </c>
      <c r="AB372" s="155" t="str">
        <f>IF(R372="-","",IF(ISERROR(INDEX('Inventaire M'!$A$2:$AD$9319,MATCH(R372,'Inventaire M'!$A:$A,0)-1,MATCH("poids",'Inventaire M'!#REF!,0))),"Sell",INDEX('Inventaire M'!$A$2:$AD$9319,MATCH(R372,'Inventaire M'!$A:$A,0)-1,MATCH("poids",'Inventaire M'!#REF!,0))))</f>
        <v>Sell</v>
      </c>
      <c r="AC372" s="175"/>
      <c r="AD372" s="157" t="str">
        <f t="shared" si="39"/>
        <v>0</v>
      </c>
      <c r="AE372" s="98" t="str">
        <f t="shared" si="40"/>
        <v/>
      </c>
      <c r="AF372" s="80" t="str">
        <f t="shared" si="41"/>
        <v>RAY FINANCING LLC 6.5 15/07/2031</v>
      </c>
    </row>
    <row r="373" spans="2:32" outlineLevel="1">
      <c r="B373" s="175" t="str">
        <f>IF(OR('Inventaire M'!D151="Dispo/Liquidité Investie",'Inventaire M'!D151="Option/Future",'Inventaire M'!D151="TCN",'Inventaire M'!D151=""),"-",'Inventaire M'!A151)</f>
        <v>XS2965681633</v>
      </c>
      <c r="C373" s="175" t="str">
        <f>IF(OR('Inventaire M'!D151="Dispo/Liquidité Investie",'Inventaire M'!D151="Option/Future",'Inventaire M'!D151="TCN",'Inventaire M'!D151=""),"-",'Inventaire M'!B151)</f>
        <v>DEUTSCHE LUFTHANSA AG 15/01/2055</v>
      </c>
      <c r="D373" s="175"/>
      <c r="E373" s="175" t="e">
        <f>IF(B373="-","",INDEX('Inventaire M'!$A$2:$AW$9305,MATCH(B373,'Inventaire M'!$A:$A,0)-1,MATCH("Cours EUR",'Inventaire M'!#REF!,0)))</f>
        <v>#REF!</v>
      </c>
      <c r="F373" s="175" t="str">
        <f>IF(B373="-","",IF(ISERROR(INDEX('Inventaire M-1'!$A$2:$AZ$9320,MATCH(B373,'Inventaire M-1'!$A:$A,0)-1,MATCH("Cours EUR",'Inventaire M-1'!#REF!,0))),"Buy",INDEX('Inventaire M-1'!$A$2:$AZ$9320,MATCH(B373,'Inventaire M-1'!$A:$A,0)-1,MATCH("Cours EUR",'Inventaire M-1'!#REF!,0))))</f>
        <v>Buy</v>
      </c>
      <c r="G373" s="175"/>
      <c r="H373" s="156" t="e">
        <f>IF(B373="-","",INDEX('Inventaire M'!$A$2:$AW$9305,MATCH(B373,'Inventaire M'!$A:$A,0)-1,MATCH("quantite",'Inventaire M'!#REF!,0)))</f>
        <v>#REF!</v>
      </c>
      <c r="I373" s="156" t="str">
        <f>IF(C373="-","",IF(ISERROR(INDEX('Inventaire M-1'!$A$2:$AZ$9320,MATCH(B373,'Inventaire M-1'!$A:$A,0)-1,MATCH("quantite",'Inventaire M-1'!#REF!,0))),"Buy",INDEX('Inventaire M-1'!$A$2:$AZ$9320,MATCH(B373,'Inventaire M-1'!$A:$A,0)-1,MATCH("quantite",'Inventaire M-1'!#REF!,0))))</f>
        <v>Buy</v>
      </c>
      <c r="J373" s="175"/>
      <c r="K373" s="155" t="e">
        <f>IF(B373="-","",INDEX('Inventaire M'!$A$2:$AW$9305,MATCH(B373,'Inventaire M'!$A:$A,0)-1,MATCH("poids",'Inventaire M'!#REF!,0)))</f>
        <v>#REF!</v>
      </c>
      <c r="L373" s="155" t="str">
        <f>IF(B373="-","",IF(ISERROR(INDEX('Inventaire M-1'!$A$2:$AZ$9320,MATCH(B373,'Inventaire M-1'!$A:$A,0)-1,MATCH("poids",'Inventaire M-1'!#REF!,0))),"Buy",INDEX('Inventaire M-1'!$A$2:$AZ$9320,MATCH(B373,'Inventaire M-1'!$A:$A,0)-1,MATCH("poids",'Inventaire M-1'!#REF!,0))))</f>
        <v>Buy</v>
      </c>
      <c r="M373" s="175"/>
      <c r="N373" s="157" t="str">
        <f t="shared" si="36"/>
        <v>0</v>
      </c>
      <c r="O373" s="98" t="str">
        <f t="shared" si="37"/>
        <v/>
      </c>
      <c r="P373" s="80" t="str">
        <f t="shared" si="38"/>
        <v>DEUTSCHE LUFTHANSA AG 15/01/2055</v>
      </c>
      <c r="Q373" s="75">
        <v>3.4900000000000001E-8</v>
      </c>
      <c r="R373" s="175" t="str">
        <f>IF(OR('Inventaire M-1'!D126="Dispo/Liquidité Investie",'Inventaire M-1'!D126="Option/Future",'Inventaire M-1'!D126="TCN",'Inventaire M-1'!D126=""),"-",'Inventaire M-1'!A126)</f>
        <v>XS2854303729</v>
      </c>
      <c r="S373" s="175" t="str">
        <f>IF(OR('Inventaire M-1'!D126="Dispo/Liquidité Investie",'Inventaire M-1'!D126="Option/Future",'Inventaire M-1'!D126="TCN",'Inventaire M-1'!D126=""),"-",'Inventaire M-1'!B126)</f>
        <v>ROSSINI SARL 6.75 31/12/2029</v>
      </c>
      <c r="T373" s="175"/>
      <c r="U373" s="175" t="e">
        <f>IF(R373="-","",INDEX('Inventaire M-1'!$A$2:$AG$9334,MATCH(R373,'Inventaire M-1'!$A:$A,0)-1,MATCH("Cours EUR",'Inventaire M-1'!#REF!,0)))</f>
        <v>#REF!</v>
      </c>
      <c r="V373" s="175" t="str">
        <f>IF(R373="-","",IF(ISERROR(INDEX('Inventaire M'!$A$2:$AD$9319,MATCH(R373,'Inventaire M'!$A:$A,0)-1,MATCH("Cours EUR",'Inventaire M'!#REF!,0))),"Sell",INDEX('Inventaire M'!$A$2:$AD$9319,MATCH(R373,'Inventaire M'!$A:$A,0)-1,MATCH("Cours EUR",'Inventaire M'!#REF!,0))))</f>
        <v>Sell</v>
      </c>
      <c r="W373" s="175"/>
      <c r="X373" s="156" t="e">
        <f>IF(R373="-","",INDEX('Inventaire M-1'!$A$2:$AG$9334,MATCH(R373,'Inventaire M-1'!$A:$A,0)-1,MATCH("quantite",'Inventaire M-1'!#REF!,0)))</f>
        <v>#REF!</v>
      </c>
      <c r="Y373" s="156" t="str">
        <f>IF(S373="-","",IF(ISERROR(INDEX('Inventaire M'!$A$2:$AD$9319,MATCH(R373,'Inventaire M'!$A:$A,0)-1,MATCH("quantite",'Inventaire M'!#REF!,0))),"Sell",INDEX('Inventaire M'!$A$2:$AD$9319,MATCH(R373,'Inventaire M'!$A:$A,0)-1,MATCH("quantite",'Inventaire M'!#REF!,0))))</f>
        <v>Sell</v>
      </c>
      <c r="Z373" s="175"/>
      <c r="AA373" s="155" t="e">
        <f>IF(R373="-","",INDEX('Inventaire M-1'!$A$2:$AG$9334,MATCH(R373,'Inventaire M-1'!$A:$A,0)-1,MATCH("poids",'Inventaire M-1'!#REF!,0)))</f>
        <v>#REF!</v>
      </c>
      <c r="AB373" s="155" t="str">
        <f>IF(R373="-","",IF(ISERROR(INDEX('Inventaire M'!$A$2:$AD$9319,MATCH(R373,'Inventaire M'!$A:$A,0)-1,MATCH("poids",'Inventaire M'!#REF!,0))),"Sell",INDEX('Inventaire M'!$A$2:$AD$9319,MATCH(R373,'Inventaire M'!$A:$A,0)-1,MATCH("poids",'Inventaire M'!#REF!,0))))</f>
        <v>Sell</v>
      </c>
      <c r="AC373" s="175"/>
      <c r="AD373" s="157" t="str">
        <f t="shared" si="39"/>
        <v>0</v>
      </c>
      <c r="AE373" s="98" t="str">
        <f t="shared" si="40"/>
        <v/>
      </c>
      <c r="AF373" s="80" t="str">
        <f t="shared" si="41"/>
        <v>ROSSINI SARL 6.75 31/12/2029</v>
      </c>
    </row>
    <row r="374" spans="2:32" outlineLevel="1">
      <c r="B374" s="175" t="str">
        <f>IF(OR('Inventaire M'!D152="Dispo/Liquidité Investie",'Inventaire M'!D152="Option/Future",'Inventaire M'!D152="TCN",'Inventaire M'!D152=""),"-",'Inventaire M'!A152)</f>
        <v>XS2971567560</v>
      </c>
      <c r="C374" s="175" t="str">
        <f>IF(OR('Inventaire M'!D152="Dispo/Liquidité Investie",'Inventaire M'!D152="Option/Future",'Inventaire M'!D152="TCN",'Inventaire M'!D152=""),"-",'Inventaire M'!B152)</f>
        <v>KAPLA HOLDING SAS 5 30/04/2031</v>
      </c>
      <c r="D374" s="175"/>
      <c r="E374" s="175" t="e">
        <f>IF(B374="-","",INDEX('Inventaire M'!$A$2:$AW$9305,MATCH(B374,'Inventaire M'!$A:$A,0)-1,MATCH("Cours EUR",'Inventaire M'!#REF!,0)))</f>
        <v>#REF!</v>
      </c>
      <c r="F374" s="175" t="str">
        <f>IF(B374="-","",IF(ISERROR(INDEX('Inventaire M-1'!$A$2:$AZ$9320,MATCH(B374,'Inventaire M-1'!$A:$A,0)-1,MATCH("Cours EUR",'Inventaire M-1'!#REF!,0))),"Buy",INDEX('Inventaire M-1'!$A$2:$AZ$9320,MATCH(B374,'Inventaire M-1'!$A:$A,0)-1,MATCH("Cours EUR",'Inventaire M-1'!#REF!,0))))</f>
        <v>Buy</v>
      </c>
      <c r="G374" s="175"/>
      <c r="H374" s="156" t="e">
        <f>IF(B374="-","",INDEX('Inventaire M'!$A$2:$AW$9305,MATCH(B374,'Inventaire M'!$A:$A,0)-1,MATCH("quantite",'Inventaire M'!#REF!,0)))</f>
        <v>#REF!</v>
      </c>
      <c r="I374" s="156" t="str">
        <f>IF(C374="-","",IF(ISERROR(INDEX('Inventaire M-1'!$A$2:$AZ$9320,MATCH(B374,'Inventaire M-1'!$A:$A,0)-1,MATCH("quantite",'Inventaire M-1'!#REF!,0))),"Buy",INDEX('Inventaire M-1'!$A$2:$AZ$9320,MATCH(B374,'Inventaire M-1'!$A:$A,0)-1,MATCH("quantite",'Inventaire M-1'!#REF!,0))))</f>
        <v>Buy</v>
      </c>
      <c r="J374" s="175"/>
      <c r="K374" s="155" t="e">
        <f>IF(B374="-","",INDEX('Inventaire M'!$A$2:$AW$9305,MATCH(B374,'Inventaire M'!$A:$A,0)-1,MATCH("poids",'Inventaire M'!#REF!,0)))</f>
        <v>#REF!</v>
      </c>
      <c r="L374" s="155" t="str">
        <f>IF(B374="-","",IF(ISERROR(INDEX('Inventaire M-1'!$A$2:$AZ$9320,MATCH(B374,'Inventaire M-1'!$A:$A,0)-1,MATCH("poids",'Inventaire M-1'!#REF!,0))),"Buy",INDEX('Inventaire M-1'!$A$2:$AZ$9320,MATCH(B374,'Inventaire M-1'!$A:$A,0)-1,MATCH("poids",'Inventaire M-1'!#REF!,0))))</f>
        <v>Buy</v>
      </c>
      <c r="M374" s="175"/>
      <c r="N374" s="157" t="str">
        <f t="shared" si="36"/>
        <v>0</v>
      </c>
      <c r="O374" s="98" t="str">
        <f t="shared" si="37"/>
        <v/>
      </c>
      <c r="P374" s="80" t="str">
        <f t="shared" si="38"/>
        <v>KAPLA HOLDING SAS 5 30/04/2031</v>
      </c>
      <c r="Q374" s="75">
        <v>3.5000000000000002E-8</v>
      </c>
      <c r="R374" s="175" t="str">
        <f>IF(OR('Inventaire M-1'!D127="Dispo/Liquidité Investie",'Inventaire M-1'!D127="Option/Future",'Inventaire M-1'!D127="TCN",'Inventaire M-1'!D127=""),"-",'Inventaire M-1'!A127)</f>
        <v>XS2856819102</v>
      </c>
      <c r="S374" s="175" t="str">
        <f>IF(OR('Inventaire M-1'!D127="Dispo/Liquidité Investie",'Inventaire M-1'!D127="Option/Future",'Inventaire M-1'!D127="TCN",'Inventaire M-1'!D127=""),"-",'Inventaire M-1'!B127)</f>
        <v>DUOMO BIDCO SPA 15/07/2031</v>
      </c>
      <c r="T374" s="175"/>
      <c r="U374" s="175" t="e">
        <f>IF(R374="-","",INDEX('Inventaire M-1'!$A$2:$AG$9334,MATCH(R374,'Inventaire M-1'!$A:$A,0)-1,MATCH("Cours EUR",'Inventaire M-1'!#REF!,0)))</f>
        <v>#REF!</v>
      </c>
      <c r="V374" s="175" t="str">
        <f>IF(R374="-","",IF(ISERROR(INDEX('Inventaire M'!$A$2:$AD$9319,MATCH(R374,'Inventaire M'!$A:$A,0)-1,MATCH("Cours EUR",'Inventaire M'!#REF!,0))),"Sell",INDEX('Inventaire M'!$A$2:$AD$9319,MATCH(R374,'Inventaire M'!$A:$A,0)-1,MATCH("Cours EUR",'Inventaire M'!#REF!,0))))</f>
        <v>Sell</v>
      </c>
      <c r="W374" s="175"/>
      <c r="X374" s="156" t="e">
        <f>IF(R374="-","",INDEX('Inventaire M-1'!$A$2:$AG$9334,MATCH(R374,'Inventaire M-1'!$A:$A,0)-1,MATCH("quantite",'Inventaire M-1'!#REF!,0)))</f>
        <v>#REF!</v>
      </c>
      <c r="Y374" s="156" t="str">
        <f>IF(S374="-","",IF(ISERROR(INDEX('Inventaire M'!$A$2:$AD$9319,MATCH(R374,'Inventaire M'!$A:$A,0)-1,MATCH("quantite",'Inventaire M'!#REF!,0))),"Sell",INDEX('Inventaire M'!$A$2:$AD$9319,MATCH(R374,'Inventaire M'!$A:$A,0)-1,MATCH("quantite",'Inventaire M'!#REF!,0))))</f>
        <v>Sell</v>
      </c>
      <c r="Z374" s="175"/>
      <c r="AA374" s="155" t="e">
        <f>IF(R374="-","",INDEX('Inventaire M-1'!$A$2:$AG$9334,MATCH(R374,'Inventaire M-1'!$A:$A,0)-1,MATCH("poids",'Inventaire M-1'!#REF!,0)))</f>
        <v>#REF!</v>
      </c>
      <c r="AB374" s="155" t="str">
        <f>IF(R374="-","",IF(ISERROR(INDEX('Inventaire M'!$A$2:$AD$9319,MATCH(R374,'Inventaire M'!$A:$A,0)-1,MATCH("poids",'Inventaire M'!#REF!,0))),"Sell",INDEX('Inventaire M'!$A$2:$AD$9319,MATCH(R374,'Inventaire M'!$A:$A,0)-1,MATCH("poids",'Inventaire M'!#REF!,0))))</f>
        <v>Sell</v>
      </c>
      <c r="AC374" s="175"/>
      <c r="AD374" s="157" t="str">
        <f t="shared" si="39"/>
        <v>0</v>
      </c>
      <c r="AE374" s="98" t="str">
        <f t="shared" si="40"/>
        <v/>
      </c>
      <c r="AF374" s="80" t="str">
        <f t="shared" si="41"/>
        <v>DUOMO BIDCO SPA 15/07/2031</v>
      </c>
    </row>
    <row r="375" spans="2:32" outlineLevel="1">
      <c r="B375" s="175" t="str">
        <f>IF(OR('Inventaire M'!D153="Dispo/Liquidité Investie",'Inventaire M'!D153="Option/Future",'Inventaire M'!D153="TCN",'Inventaire M'!D153=""),"-",'Inventaire M'!A153)</f>
        <v>XS2988687682</v>
      </c>
      <c r="C375" s="175" t="str">
        <f>IF(OR('Inventaire M'!D153="Dispo/Liquidité Investie",'Inventaire M'!D153="Option/Future",'Inventaire M'!D153="TCN",'Inventaire M'!D153=""),"-",'Inventaire M'!B153)</f>
        <v>ENGINEERING INGEGNERIA INFORMATICA 8.625 15/02/2030</v>
      </c>
      <c r="D375" s="175"/>
      <c r="E375" s="175" t="e">
        <f>IF(B375="-","",INDEX('Inventaire M'!$A$2:$AW$9305,MATCH(B375,'Inventaire M'!$A:$A,0)-1,MATCH("Cours EUR",'Inventaire M'!#REF!,0)))</f>
        <v>#REF!</v>
      </c>
      <c r="F375" s="175" t="str">
        <f>IF(B375="-","",IF(ISERROR(INDEX('Inventaire M-1'!$A$2:$AZ$9320,MATCH(B375,'Inventaire M-1'!$A:$A,0)-1,MATCH("Cours EUR",'Inventaire M-1'!#REF!,0))),"Buy",INDEX('Inventaire M-1'!$A$2:$AZ$9320,MATCH(B375,'Inventaire M-1'!$A:$A,0)-1,MATCH("Cours EUR",'Inventaire M-1'!#REF!,0))))</f>
        <v>Buy</v>
      </c>
      <c r="G375" s="175"/>
      <c r="H375" s="156" t="e">
        <f>IF(B375="-","",INDEX('Inventaire M'!$A$2:$AW$9305,MATCH(B375,'Inventaire M'!$A:$A,0)-1,MATCH("quantite",'Inventaire M'!#REF!,0)))</f>
        <v>#REF!</v>
      </c>
      <c r="I375" s="156" t="str">
        <f>IF(C375="-","",IF(ISERROR(INDEX('Inventaire M-1'!$A$2:$AZ$9320,MATCH(B375,'Inventaire M-1'!$A:$A,0)-1,MATCH("quantite",'Inventaire M-1'!#REF!,0))),"Buy",INDEX('Inventaire M-1'!$A$2:$AZ$9320,MATCH(B375,'Inventaire M-1'!$A:$A,0)-1,MATCH("quantite",'Inventaire M-1'!#REF!,0))))</f>
        <v>Buy</v>
      </c>
      <c r="J375" s="175"/>
      <c r="K375" s="155" t="e">
        <f>IF(B375="-","",INDEX('Inventaire M'!$A$2:$AW$9305,MATCH(B375,'Inventaire M'!$A:$A,0)-1,MATCH("poids",'Inventaire M'!#REF!,0)))</f>
        <v>#REF!</v>
      </c>
      <c r="L375" s="155" t="str">
        <f>IF(B375="-","",IF(ISERROR(INDEX('Inventaire M-1'!$A$2:$AZ$9320,MATCH(B375,'Inventaire M-1'!$A:$A,0)-1,MATCH("poids",'Inventaire M-1'!#REF!,0))),"Buy",INDEX('Inventaire M-1'!$A$2:$AZ$9320,MATCH(B375,'Inventaire M-1'!$A:$A,0)-1,MATCH("poids",'Inventaire M-1'!#REF!,0))))</f>
        <v>Buy</v>
      </c>
      <c r="M375" s="175"/>
      <c r="N375" s="157" t="str">
        <f t="shared" si="36"/>
        <v>0</v>
      </c>
      <c r="O375" s="98" t="str">
        <f t="shared" si="37"/>
        <v/>
      </c>
      <c r="P375" s="80" t="str">
        <f t="shared" si="38"/>
        <v>ENGINEERING INGEGNERIA INFORMATICA 8.625 15/02/2030</v>
      </c>
      <c r="Q375" s="75">
        <v>3.5100000000000003E-8</v>
      </c>
      <c r="R375" s="175" t="str">
        <f>IF(OR('Inventaire M-1'!D128="Dispo/Liquidité Investie",'Inventaire M-1'!D128="Option/Future",'Inventaire M-1'!D128="TCN",'Inventaire M-1'!D128=""),"-",'Inventaire M-1'!A128)</f>
        <v>XS2857868942</v>
      </c>
      <c r="S375" s="175" t="str">
        <f>IF(OR('Inventaire M-1'!D128="Dispo/Liquidité Investie",'Inventaire M-1'!D128="Option/Future",'Inventaire M-1'!D128="TCN",'Inventaire M-1'!D128=""),"-",'Inventaire M-1'!B128)</f>
        <v>AMBER FINCO PLC 6.625 15/07/2029</v>
      </c>
      <c r="T375" s="175"/>
      <c r="U375" s="175" t="e">
        <f>IF(R375="-","",INDEX('Inventaire M-1'!$A$2:$AG$9334,MATCH(R375,'Inventaire M-1'!$A:$A,0)-1,MATCH("Cours EUR",'Inventaire M-1'!#REF!,0)))</f>
        <v>#REF!</v>
      </c>
      <c r="V375" s="175" t="str">
        <f>IF(R375="-","",IF(ISERROR(INDEX('Inventaire M'!$A$2:$AD$9319,MATCH(R375,'Inventaire M'!$A:$A,0)-1,MATCH("Cours EUR",'Inventaire M'!#REF!,0))),"Sell",INDEX('Inventaire M'!$A$2:$AD$9319,MATCH(R375,'Inventaire M'!$A:$A,0)-1,MATCH("Cours EUR",'Inventaire M'!#REF!,0))))</f>
        <v>Sell</v>
      </c>
      <c r="W375" s="175"/>
      <c r="X375" s="156" t="e">
        <f>IF(R375="-","",INDEX('Inventaire M-1'!$A$2:$AG$9334,MATCH(R375,'Inventaire M-1'!$A:$A,0)-1,MATCH("quantite",'Inventaire M-1'!#REF!,0)))</f>
        <v>#REF!</v>
      </c>
      <c r="Y375" s="156" t="str">
        <f>IF(S375="-","",IF(ISERROR(INDEX('Inventaire M'!$A$2:$AD$9319,MATCH(R375,'Inventaire M'!$A:$A,0)-1,MATCH("quantite",'Inventaire M'!#REF!,0))),"Sell",INDEX('Inventaire M'!$A$2:$AD$9319,MATCH(R375,'Inventaire M'!$A:$A,0)-1,MATCH("quantite",'Inventaire M'!#REF!,0))))</f>
        <v>Sell</v>
      </c>
      <c r="Z375" s="175"/>
      <c r="AA375" s="155" t="e">
        <f>IF(R375="-","",INDEX('Inventaire M-1'!$A$2:$AG$9334,MATCH(R375,'Inventaire M-1'!$A:$A,0)-1,MATCH("poids",'Inventaire M-1'!#REF!,0)))</f>
        <v>#REF!</v>
      </c>
      <c r="AB375" s="155" t="str">
        <f>IF(R375="-","",IF(ISERROR(INDEX('Inventaire M'!$A$2:$AD$9319,MATCH(R375,'Inventaire M'!$A:$A,0)-1,MATCH("poids",'Inventaire M'!#REF!,0))),"Sell",INDEX('Inventaire M'!$A$2:$AD$9319,MATCH(R375,'Inventaire M'!$A:$A,0)-1,MATCH("poids",'Inventaire M'!#REF!,0))))</f>
        <v>Sell</v>
      </c>
      <c r="AC375" s="175"/>
      <c r="AD375" s="157" t="str">
        <f t="shared" si="39"/>
        <v>0</v>
      </c>
      <c r="AE375" s="98" t="str">
        <f t="shared" si="40"/>
        <v/>
      </c>
      <c r="AF375" s="80" t="str">
        <f t="shared" si="41"/>
        <v>AMBER FINCO PLC 6.625 15/07/2029</v>
      </c>
    </row>
    <row r="376" spans="2:32" outlineLevel="1">
      <c r="B376" s="175" t="str">
        <f>IF(OR('Inventaire M'!D154="Dispo/Liquidité Investie",'Inventaire M'!D154="Option/Future",'Inventaire M'!D154="TCN",'Inventaire M'!D154=""),"-",'Inventaire M'!A154)</f>
        <v>XS2998755040</v>
      </c>
      <c r="C376" s="175" t="str">
        <f>IF(OR('Inventaire M'!D154="Dispo/Liquidité Investie",'Inventaire M'!D154="Option/Future",'Inventaire M'!D154="TCN",'Inventaire M'!D154=""),"-",'Inventaire M'!B154)</f>
        <v>SUMMER BC HOLDCO B SARL 5.875 15/02/2030</v>
      </c>
      <c r="D376" s="175"/>
      <c r="E376" s="175" t="e">
        <f>IF(B376="-","",INDEX('Inventaire M'!$A$2:$AW$9305,MATCH(B376,'Inventaire M'!$A:$A,0)-1,MATCH("Cours EUR",'Inventaire M'!#REF!,0)))</f>
        <v>#REF!</v>
      </c>
      <c r="F376" s="175" t="str">
        <f>IF(B376="-","",IF(ISERROR(INDEX('Inventaire M-1'!$A$2:$AZ$9320,MATCH(B376,'Inventaire M-1'!$A:$A,0)-1,MATCH("Cours EUR",'Inventaire M-1'!#REF!,0))),"Buy",INDEX('Inventaire M-1'!$A$2:$AZ$9320,MATCH(B376,'Inventaire M-1'!$A:$A,0)-1,MATCH("Cours EUR",'Inventaire M-1'!#REF!,0))))</f>
        <v>Buy</v>
      </c>
      <c r="G376" s="175"/>
      <c r="H376" s="156" t="e">
        <f>IF(B376="-","",INDEX('Inventaire M'!$A$2:$AW$9305,MATCH(B376,'Inventaire M'!$A:$A,0)-1,MATCH("quantite",'Inventaire M'!#REF!,0)))</f>
        <v>#REF!</v>
      </c>
      <c r="I376" s="156" t="str">
        <f>IF(C376="-","",IF(ISERROR(INDEX('Inventaire M-1'!$A$2:$AZ$9320,MATCH(B376,'Inventaire M-1'!$A:$A,0)-1,MATCH("quantite",'Inventaire M-1'!#REF!,0))),"Buy",INDEX('Inventaire M-1'!$A$2:$AZ$9320,MATCH(B376,'Inventaire M-1'!$A:$A,0)-1,MATCH("quantite",'Inventaire M-1'!#REF!,0))))</f>
        <v>Buy</v>
      </c>
      <c r="J376" s="175"/>
      <c r="K376" s="155" t="e">
        <f>IF(B376="-","",INDEX('Inventaire M'!$A$2:$AW$9305,MATCH(B376,'Inventaire M'!$A:$A,0)-1,MATCH("poids",'Inventaire M'!#REF!,0)))</f>
        <v>#REF!</v>
      </c>
      <c r="L376" s="155" t="str">
        <f>IF(B376="-","",IF(ISERROR(INDEX('Inventaire M-1'!$A$2:$AZ$9320,MATCH(B376,'Inventaire M-1'!$A:$A,0)-1,MATCH("poids",'Inventaire M-1'!#REF!,0))),"Buy",INDEX('Inventaire M-1'!$A$2:$AZ$9320,MATCH(B376,'Inventaire M-1'!$A:$A,0)-1,MATCH("poids",'Inventaire M-1'!#REF!,0))))</f>
        <v>Buy</v>
      </c>
      <c r="M376" s="175"/>
      <c r="N376" s="157" t="str">
        <f t="shared" si="36"/>
        <v>0</v>
      </c>
      <c r="O376" s="98" t="str">
        <f t="shared" si="37"/>
        <v/>
      </c>
      <c r="P376" s="80" t="str">
        <f t="shared" si="38"/>
        <v>SUMMER BC HOLDCO B SARL 5.875 15/02/2030</v>
      </c>
      <c r="Q376" s="75">
        <v>3.5199999999999998E-8</v>
      </c>
      <c r="R376" s="175" t="str">
        <f>IF(OR('Inventaire M-1'!D129="Dispo/Liquidité Investie",'Inventaire M-1'!D129="Option/Future",'Inventaire M-1'!D129="TCN",'Inventaire M-1'!D129=""),"-",'Inventaire M-1'!A129)</f>
        <v>XS2859406139</v>
      </c>
      <c r="S376" s="175" t="str">
        <f>IF(OR('Inventaire M-1'!D129="Dispo/Liquidité Investie",'Inventaire M-1'!D129="Option/Future",'Inventaire M-1'!D129="TCN",'Inventaire M-1'!D129=""),"-",'Inventaire M-1'!B129)</f>
        <v>ZEGONA FINANCE PLC 6.75 15/07/2029</v>
      </c>
      <c r="T376" s="175"/>
      <c r="U376" s="175" t="e">
        <f>IF(R376="-","",INDEX('Inventaire M-1'!$A$2:$AG$9334,MATCH(R376,'Inventaire M-1'!$A:$A,0)-1,MATCH("Cours EUR",'Inventaire M-1'!#REF!,0)))</f>
        <v>#REF!</v>
      </c>
      <c r="V376" s="175" t="str">
        <f>IF(R376="-","",IF(ISERROR(INDEX('Inventaire M'!$A$2:$AD$9319,MATCH(R376,'Inventaire M'!$A:$A,0)-1,MATCH("Cours EUR",'Inventaire M'!#REF!,0))),"Sell",INDEX('Inventaire M'!$A$2:$AD$9319,MATCH(R376,'Inventaire M'!$A:$A,0)-1,MATCH("Cours EUR",'Inventaire M'!#REF!,0))))</f>
        <v>Sell</v>
      </c>
      <c r="W376" s="175"/>
      <c r="X376" s="156" t="e">
        <f>IF(R376="-","",INDEX('Inventaire M-1'!$A$2:$AG$9334,MATCH(R376,'Inventaire M-1'!$A:$A,0)-1,MATCH("quantite",'Inventaire M-1'!#REF!,0)))</f>
        <v>#REF!</v>
      </c>
      <c r="Y376" s="156" t="str">
        <f>IF(S376="-","",IF(ISERROR(INDEX('Inventaire M'!$A$2:$AD$9319,MATCH(R376,'Inventaire M'!$A:$A,0)-1,MATCH("quantite",'Inventaire M'!#REF!,0))),"Sell",INDEX('Inventaire M'!$A$2:$AD$9319,MATCH(R376,'Inventaire M'!$A:$A,0)-1,MATCH("quantite",'Inventaire M'!#REF!,0))))</f>
        <v>Sell</v>
      </c>
      <c r="Z376" s="175"/>
      <c r="AA376" s="155" t="e">
        <f>IF(R376="-","",INDEX('Inventaire M-1'!$A$2:$AG$9334,MATCH(R376,'Inventaire M-1'!$A:$A,0)-1,MATCH("poids",'Inventaire M-1'!#REF!,0)))</f>
        <v>#REF!</v>
      </c>
      <c r="AB376" s="155" t="str">
        <f>IF(R376="-","",IF(ISERROR(INDEX('Inventaire M'!$A$2:$AD$9319,MATCH(R376,'Inventaire M'!$A:$A,0)-1,MATCH("poids",'Inventaire M'!#REF!,0))),"Sell",INDEX('Inventaire M'!$A$2:$AD$9319,MATCH(R376,'Inventaire M'!$A:$A,0)-1,MATCH("poids",'Inventaire M'!#REF!,0))))</f>
        <v>Sell</v>
      </c>
      <c r="AC376" s="175"/>
      <c r="AD376" s="157" t="str">
        <f t="shared" si="39"/>
        <v>0</v>
      </c>
      <c r="AE376" s="98" t="str">
        <f t="shared" si="40"/>
        <v/>
      </c>
      <c r="AF376" s="80" t="str">
        <f t="shared" si="41"/>
        <v>ZEGONA FINANCE PLC 6.75 15/07/2029</v>
      </c>
    </row>
    <row r="377" spans="2:32" outlineLevel="1">
      <c r="B377" s="175" t="str">
        <f>IF(OR('Inventaire M'!D155="Dispo/Liquidité Investie",'Inventaire M'!D155="Option/Future",'Inventaire M'!D155="TCN",'Inventaire M'!D155=""),"-",'Inventaire M'!A155)</f>
        <v>XS2999659704</v>
      </c>
      <c r="C377" s="175" t="str">
        <f>IF(OR('Inventaire M'!D155="Dispo/Liquidité Investie",'Inventaire M'!D155="Option/Future",'Inventaire M'!D155="TCN",'Inventaire M'!D155=""),"-",'Inventaire M'!B155)</f>
        <v>NISSAN MOTOR CO LTD 5.25 17/07/2029</v>
      </c>
      <c r="D377" s="175"/>
      <c r="E377" s="175" t="e">
        <f>IF(B377="-","",INDEX('Inventaire M'!$A$2:$AW$9305,MATCH(B377,'Inventaire M'!$A:$A,0)-1,MATCH("Cours EUR",'Inventaire M'!#REF!,0)))</f>
        <v>#REF!</v>
      </c>
      <c r="F377" s="175" t="str">
        <f>IF(B377="-","",IF(ISERROR(INDEX('Inventaire M-1'!$A$2:$AZ$9320,MATCH(B377,'Inventaire M-1'!$A:$A,0)-1,MATCH("Cours EUR",'Inventaire M-1'!#REF!,0))),"Buy",INDEX('Inventaire M-1'!$A$2:$AZ$9320,MATCH(B377,'Inventaire M-1'!$A:$A,0)-1,MATCH("Cours EUR",'Inventaire M-1'!#REF!,0))))</f>
        <v>Buy</v>
      </c>
      <c r="G377" s="175"/>
      <c r="H377" s="156" t="e">
        <f>IF(B377="-","",INDEX('Inventaire M'!$A$2:$AW$9305,MATCH(B377,'Inventaire M'!$A:$A,0)-1,MATCH("quantite",'Inventaire M'!#REF!,0)))</f>
        <v>#REF!</v>
      </c>
      <c r="I377" s="156" t="str">
        <f>IF(C377="-","",IF(ISERROR(INDEX('Inventaire M-1'!$A$2:$AZ$9320,MATCH(B377,'Inventaire M-1'!$A:$A,0)-1,MATCH("quantite",'Inventaire M-1'!#REF!,0))),"Buy",INDEX('Inventaire M-1'!$A$2:$AZ$9320,MATCH(B377,'Inventaire M-1'!$A:$A,0)-1,MATCH("quantite",'Inventaire M-1'!#REF!,0))))</f>
        <v>Buy</v>
      </c>
      <c r="J377" s="175"/>
      <c r="K377" s="155" t="e">
        <f>IF(B377="-","",INDEX('Inventaire M'!$A$2:$AW$9305,MATCH(B377,'Inventaire M'!$A:$A,0)-1,MATCH("poids",'Inventaire M'!#REF!,0)))</f>
        <v>#REF!</v>
      </c>
      <c r="L377" s="155" t="str">
        <f>IF(B377="-","",IF(ISERROR(INDEX('Inventaire M-1'!$A$2:$AZ$9320,MATCH(B377,'Inventaire M-1'!$A:$A,0)-1,MATCH("poids",'Inventaire M-1'!#REF!,0))),"Buy",INDEX('Inventaire M-1'!$A$2:$AZ$9320,MATCH(B377,'Inventaire M-1'!$A:$A,0)-1,MATCH("poids",'Inventaire M-1'!#REF!,0))))</f>
        <v>Buy</v>
      </c>
      <c r="M377" s="175"/>
      <c r="N377" s="157" t="str">
        <f t="shared" si="36"/>
        <v>0</v>
      </c>
      <c r="O377" s="98" t="str">
        <f t="shared" si="37"/>
        <v/>
      </c>
      <c r="P377" s="80" t="str">
        <f t="shared" si="38"/>
        <v>NISSAN MOTOR CO LTD 5.25 17/07/2029</v>
      </c>
      <c r="Q377" s="75">
        <v>3.5299999999999998E-8</v>
      </c>
      <c r="R377" s="175" t="str">
        <f>IF(OR('Inventaire M-1'!D130="Dispo/Liquidité Investie",'Inventaire M-1'!D130="Option/Future",'Inventaire M-1'!D130="TCN",'Inventaire M-1'!D130=""),"-",'Inventaire M-1'!A130)</f>
        <v>XS2864287466</v>
      </c>
      <c r="S377" s="175" t="str">
        <f>IF(OR('Inventaire M-1'!D130="Dispo/Liquidité Investie",'Inventaire M-1'!D130="Option/Future",'Inventaire M-1'!D130="TCN",'Inventaire M-1'!D130=""),"-",'Inventaire M-1'!B130)</f>
        <v>TEAMSYSTEM SPA 31/07/2031</v>
      </c>
      <c r="T377" s="175"/>
      <c r="U377" s="175" t="e">
        <f>IF(R377="-","",INDEX('Inventaire M-1'!$A$2:$AG$9334,MATCH(R377,'Inventaire M-1'!$A:$A,0)-1,MATCH("Cours EUR",'Inventaire M-1'!#REF!,0)))</f>
        <v>#REF!</v>
      </c>
      <c r="V377" s="175" t="str">
        <f>IF(R377="-","",IF(ISERROR(INDEX('Inventaire M'!$A$2:$AD$9319,MATCH(R377,'Inventaire M'!$A:$A,0)-1,MATCH("Cours EUR",'Inventaire M'!#REF!,0))),"Sell",INDEX('Inventaire M'!$A$2:$AD$9319,MATCH(R377,'Inventaire M'!$A:$A,0)-1,MATCH("Cours EUR",'Inventaire M'!#REF!,0))))</f>
        <v>Sell</v>
      </c>
      <c r="W377" s="175"/>
      <c r="X377" s="156" t="e">
        <f>IF(R377="-","",INDEX('Inventaire M-1'!$A$2:$AG$9334,MATCH(R377,'Inventaire M-1'!$A:$A,0)-1,MATCH("quantite",'Inventaire M-1'!#REF!,0)))</f>
        <v>#REF!</v>
      </c>
      <c r="Y377" s="156" t="str">
        <f>IF(S377="-","",IF(ISERROR(INDEX('Inventaire M'!$A$2:$AD$9319,MATCH(R377,'Inventaire M'!$A:$A,0)-1,MATCH("quantite",'Inventaire M'!#REF!,0))),"Sell",INDEX('Inventaire M'!$A$2:$AD$9319,MATCH(R377,'Inventaire M'!$A:$A,0)-1,MATCH("quantite",'Inventaire M'!#REF!,0))))</f>
        <v>Sell</v>
      </c>
      <c r="Z377" s="175"/>
      <c r="AA377" s="155" t="e">
        <f>IF(R377="-","",INDEX('Inventaire M-1'!$A$2:$AG$9334,MATCH(R377,'Inventaire M-1'!$A:$A,0)-1,MATCH("poids",'Inventaire M-1'!#REF!,0)))</f>
        <v>#REF!</v>
      </c>
      <c r="AB377" s="155" t="str">
        <f>IF(R377="-","",IF(ISERROR(INDEX('Inventaire M'!$A$2:$AD$9319,MATCH(R377,'Inventaire M'!$A:$A,0)-1,MATCH("poids",'Inventaire M'!#REF!,0))),"Sell",INDEX('Inventaire M'!$A$2:$AD$9319,MATCH(R377,'Inventaire M'!$A:$A,0)-1,MATCH("poids",'Inventaire M'!#REF!,0))))</f>
        <v>Sell</v>
      </c>
      <c r="AC377" s="175"/>
      <c r="AD377" s="157" t="str">
        <f t="shared" si="39"/>
        <v>0</v>
      </c>
      <c r="AE377" s="98" t="str">
        <f t="shared" si="40"/>
        <v/>
      </c>
      <c r="AF377" s="80" t="str">
        <f t="shared" si="41"/>
        <v>TEAMSYSTEM SPA 31/07/2031</v>
      </c>
    </row>
    <row r="378" spans="2:32" outlineLevel="1">
      <c r="B378" s="175" t="str">
        <f>IF(OR('Inventaire M'!D156="Dispo/Liquidité Investie",'Inventaire M'!D156="Option/Future",'Inventaire M'!D156="TCN",'Inventaire M'!D156=""),"-",'Inventaire M'!A156)</f>
        <v>XS3004167642</v>
      </c>
      <c r="C378" s="175" t="str">
        <f>IF(OR('Inventaire M'!D156="Dispo/Liquidité Investie",'Inventaire M'!D156="Option/Future",'Inventaire M'!D156="TCN",'Inventaire M'!D156=""),"-",'Inventaire M'!B156)</f>
        <v>PRIMO WATER HOLDINGS INC 3.875 12/10/2028</v>
      </c>
      <c r="D378" s="175"/>
      <c r="E378" s="175" t="e">
        <f>IF(B378="-","",INDEX('Inventaire M'!$A$2:$AW$9305,MATCH(B378,'Inventaire M'!$A:$A,0)-1,MATCH("Cours EUR",'Inventaire M'!#REF!,0)))</f>
        <v>#REF!</v>
      </c>
      <c r="F378" s="175" t="str">
        <f>IF(B378="-","",IF(ISERROR(INDEX('Inventaire M-1'!$A$2:$AZ$9320,MATCH(B378,'Inventaire M-1'!$A:$A,0)-1,MATCH("Cours EUR",'Inventaire M-1'!#REF!,0))),"Buy",INDEX('Inventaire M-1'!$A$2:$AZ$9320,MATCH(B378,'Inventaire M-1'!$A:$A,0)-1,MATCH("Cours EUR",'Inventaire M-1'!#REF!,0))))</f>
        <v>Buy</v>
      </c>
      <c r="G378" s="175"/>
      <c r="H378" s="156" t="e">
        <f>IF(B378="-","",INDEX('Inventaire M'!$A$2:$AW$9305,MATCH(B378,'Inventaire M'!$A:$A,0)-1,MATCH("quantite",'Inventaire M'!#REF!,0)))</f>
        <v>#REF!</v>
      </c>
      <c r="I378" s="156" t="str">
        <f>IF(C378="-","",IF(ISERROR(INDEX('Inventaire M-1'!$A$2:$AZ$9320,MATCH(B378,'Inventaire M-1'!$A:$A,0)-1,MATCH("quantite",'Inventaire M-1'!#REF!,0))),"Buy",INDEX('Inventaire M-1'!$A$2:$AZ$9320,MATCH(B378,'Inventaire M-1'!$A:$A,0)-1,MATCH("quantite",'Inventaire M-1'!#REF!,0))))</f>
        <v>Buy</v>
      </c>
      <c r="J378" s="175"/>
      <c r="K378" s="155" t="e">
        <f>IF(B378="-","",INDEX('Inventaire M'!$A$2:$AW$9305,MATCH(B378,'Inventaire M'!$A:$A,0)-1,MATCH("poids",'Inventaire M'!#REF!,0)))</f>
        <v>#REF!</v>
      </c>
      <c r="L378" s="155" t="str">
        <f>IF(B378="-","",IF(ISERROR(INDEX('Inventaire M-1'!$A$2:$AZ$9320,MATCH(B378,'Inventaire M-1'!$A:$A,0)-1,MATCH("poids",'Inventaire M-1'!#REF!,0))),"Buy",INDEX('Inventaire M-1'!$A$2:$AZ$9320,MATCH(B378,'Inventaire M-1'!$A:$A,0)-1,MATCH("poids",'Inventaire M-1'!#REF!,0))))</f>
        <v>Buy</v>
      </c>
      <c r="M378" s="175"/>
      <c r="N378" s="157" t="str">
        <f t="shared" si="36"/>
        <v>0</v>
      </c>
      <c r="O378" s="98" t="str">
        <f t="shared" si="37"/>
        <v/>
      </c>
      <c r="P378" s="80" t="str">
        <f t="shared" si="38"/>
        <v>PRIMO WATER HOLDINGS INC 3.875 12/10/2028</v>
      </c>
      <c r="Q378" s="75">
        <v>3.5399999999999999E-8</v>
      </c>
      <c r="R378" s="175" t="str">
        <f>IF(OR('Inventaire M-1'!D131="Dispo/Liquidité Investie",'Inventaire M-1'!D131="Option/Future",'Inventaire M-1'!D131="TCN",'Inventaire M-1'!D131=""),"-",'Inventaire M-1'!A131)</f>
        <v>XS2864439158</v>
      </c>
      <c r="S378" s="175" t="str">
        <f>IF(OR('Inventaire M-1'!D131="Dispo/Liquidité Investie",'Inventaire M-1'!D131="Option/Future",'Inventaire M-1'!D131="TCN",'Inventaire M-1'!D131=""),"-",'Inventaire M-1'!B131)</f>
        <v>MUNDYS SPA 4.5 24/01/2030</v>
      </c>
      <c r="T378" s="175"/>
      <c r="U378" s="175" t="e">
        <f>IF(R378="-","",INDEX('Inventaire M-1'!$A$2:$AG$9334,MATCH(R378,'Inventaire M-1'!$A:$A,0)-1,MATCH("Cours EUR",'Inventaire M-1'!#REF!,0)))</f>
        <v>#REF!</v>
      </c>
      <c r="V378" s="175" t="str">
        <f>IF(R378="-","",IF(ISERROR(INDEX('Inventaire M'!$A$2:$AD$9319,MATCH(R378,'Inventaire M'!$A:$A,0)-1,MATCH("Cours EUR",'Inventaire M'!#REF!,0))),"Sell",INDEX('Inventaire M'!$A$2:$AD$9319,MATCH(R378,'Inventaire M'!$A:$A,0)-1,MATCH("Cours EUR",'Inventaire M'!#REF!,0))))</f>
        <v>Sell</v>
      </c>
      <c r="W378" s="175"/>
      <c r="X378" s="156" t="e">
        <f>IF(R378="-","",INDEX('Inventaire M-1'!$A$2:$AG$9334,MATCH(R378,'Inventaire M-1'!$A:$A,0)-1,MATCH("quantite",'Inventaire M-1'!#REF!,0)))</f>
        <v>#REF!</v>
      </c>
      <c r="Y378" s="156" t="str">
        <f>IF(S378="-","",IF(ISERROR(INDEX('Inventaire M'!$A$2:$AD$9319,MATCH(R378,'Inventaire M'!$A:$A,0)-1,MATCH("quantite",'Inventaire M'!#REF!,0))),"Sell",INDEX('Inventaire M'!$A$2:$AD$9319,MATCH(R378,'Inventaire M'!$A:$A,0)-1,MATCH("quantite",'Inventaire M'!#REF!,0))))</f>
        <v>Sell</v>
      </c>
      <c r="Z378" s="175"/>
      <c r="AA378" s="155" t="e">
        <f>IF(R378="-","",INDEX('Inventaire M-1'!$A$2:$AG$9334,MATCH(R378,'Inventaire M-1'!$A:$A,0)-1,MATCH("poids",'Inventaire M-1'!#REF!,0)))</f>
        <v>#REF!</v>
      </c>
      <c r="AB378" s="155" t="str">
        <f>IF(R378="-","",IF(ISERROR(INDEX('Inventaire M'!$A$2:$AD$9319,MATCH(R378,'Inventaire M'!$A:$A,0)-1,MATCH("poids",'Inventaire M'!#REF!,0))),"Sell",INDEX('Inventaire M'!$A$2:$AD$9319,MATCH(R378,'Inventaire M'!$A:$A,0)-1,MATCH("poids",'Inventaire M'!#REF!,0))))</f>
        <v>Sell</v>
      </c>
      <c r="AC378" s="175"/>
      <c r="AD378" s="157" t="str">
        <f t="shared" si="39"/>
        <v>0</v>
      </c>
      <c r="AE378" s="98" t="str">
        <f t="shared" si="40"/>
        <v/>
      </c>
      <c r="AF378" s="80" t="str">
        <f t="shared" si="41"/>
        <v>MUNDYS SPA 4.5 24/01/2030</v>
      </c>
    </row>
    <row r="379" spans="2:32" outlineLevel="1">
      <c r="B379" s="175" t="str">
        <f>IF(OR('Inventaire M'!D157="Dispo/Liquidité Investie",'Inventaire M'!D157="Option/Future",'Inventaire M'!D157="TCN",'Inventaire M'!D157=""),"-",'Inventaire M'!A157)</f>
        <v>XS3005193183</v>
      </c>
      <c r="C379" s="175" t="str">
        <f>IF(OR('Inventaire M'!D157="Dispo/Liquidité Investie",'Inventaire M'!D157="Option/Future",'Inventaire M'!D157="TCN",'Inventaire M'!D157=""),"-",'Inventaire M'!B157)</f>
        <v>REKEEP SPA 9 15/09/2029</v>
      </c>
      <c r="D379" s="175"/>
      <c r="E379" s="175" t="e">
        <f>IF(B379="-","",INDEX('Inventaire M'!$A$2:$AW$9305,MATCH(B379,'Inventaire M'!$A:$A,0)-1,MATCH("Cours EUR",'Inventaire M'!#REF!,0)))</f>
        <v>#REF!</v>
      </c>
      <c r="F379" s="175" t="str">
        <f>IF(B379="-","",IF(ISERROR(INDEX('Inventaire M-1'!$A$2:$AZ$9320,MATCH(B379,'Inventaire M-1'!$A:$A,0)-1,MATCH("Cours EUR",'Inventaire M-1'!#REF!,0))),"Buy",INDEX('Inventaire M-1'!$A$2:$AZ$9320,MATCH(B379,'Inventaire M-1'!$A:$A,0)-1,MATCH("Cours EUR",'Inventaire M-1'!#REF!,0))))</f>
        <v>Buy</v>
      </c>
      <c r="G379" s="175"/>
      <c r="H379" s="156" t="e">
        <f>IF(B379="-","",INDEX('Inventaire M'!$A$2:$AW$9305,MATCH(B379,'Inventaire M'!$A:$A,0)-1,MATCH("quantite",'Inventaire M'!#REF!,0)))</f>
        <v>#REF!</v>
      </c>
      <c r="I379" s="156" t="str">
        <f>IF(C379="-","",IF(ISERROR(INDEX('Inventaire M-1'!$A$2:$AZ$9320,MATCH(B379,'Inventaire M-1'!$A:$A,0)-1,MATCH("quantite",'Inventaire M-1'!#REF!,0))),"Buy",INDEX('Inventaire M-1'!$A$2:$AZ$9320,MATCH(B379,'Inventaire M-1'!$A:$A,0)-1,MATCH("quantite",'Inventaire M-1'!#REF!,0))))</f>
        <v>Buy</v>
      </c>
      <c r="J379" s="175"/>
      <c r="K379" s="155" t="e">
        <f>IF(B379="-","",INDEX('Inventaire M'!$A$2:$AW$9305,MATCH(B379,'Inventaire M'!$A:$A,0)-1,MATCH("poids",'Inventaire M'!#REF!,0)))</f>
        <v>#REF!</v>
      </c>
      <c r="L379" s="155" t="str">
        <f>IF(B379="-","",IF(ISERROR(INDEX('Inventaire M-1'!$A$2:$AZ$9320,MATCH(B379,'Inventaire M-1'!$A:$A,0)-1,MATCH("poids",'Inventaire M-1'!#REF!,0))),"Buy",INDEX('Inventaire M-1'!$A$2:$AZ$9320,MATCH(B379,'Inventaire M-1'!$A:$A,0)-1,MATCH("poids",'Inventaire M-1'!#REF!,0))))</f>
        <v>Buy</v>
      </c>
      <c r="M379" s="175"/>
      <c r="N379" s="157" t="str">
        <f t="shared" si="36"/>
        <v>0</v>
      </c>
      <c r="O379" s="98" t="str">
        <f t="shared" si="37"/>
        <v/>
      </c>
      <c r="P379" s="80" t="str">
        <f t="shared" si="38"/>
        <v>REKEEP SPA 9 15/09/2029</v>
      </c>
      <c r="Q379" s="75">
        <v>3.55E-8</v>
      </c>
      <c r="R379" s="175" t="str">
        <f>IF(OR('Inventaire M-1'!D132="Dispo/Liquidité Investie",'Inventaire M-1'!D132="Option/Future",'Inventaire M-1'!D132="TCN",'Inventaire M-1'!D132=""),"-",'Inventaire M-1'!A132)</f>
        <v>XS2867238532</v>
      </c>
      <c r="S379" s="175" t="str">
        <f>IF(OR('Inventaire M-1'!D132="Dispo/Liquidité Investie",'Inventaire M-1'!D132="Option/Future",'Inventaire M-1'!D132="TCN",'Inventaire M-1'!D132=""),"-",'Inventaire M-1'!B132)</f>
        <v>GRUPO ANTOLIN IRAUSA SA 10.375 30/01/2030</v>
      </c>
      <c r="T379" s="175"/>
      <c r="U379" s="175" t="e">
        <f>IF(R379="-","",INDEX('Inventaire M-1'!$A$2:$AG$9334,MATCH(R379,'Inventaire M-1'!$A:$A,0)-1,MATCH("Cours EUR",'Inventaire M-1'!#REF!,0)))</f>
        <v>#REF!</v>
      </c>
      <c r="V379" s="175" t="str">
        <f>IF(R379="-","",IF(ISERROR(INDEX('Inventaire M'!$A$2:$AD$9319,MATCH(R379,'Inventaire M'!$A:$A,0)-1,MATCH("Cours EUR",'Inventaire M'!#REF!,0))),"Sell",INDEX('Inventaire M'!$A$2:$AD$9319,MATCH(R379,'Inventaire M'!$A:$A,0)-1,MATCH("Cours EUR",'Inventaire M'!#REF!,0))))</f>
        <v>Sell</v>
      </c>
      <c r="W379" s="175"/>
      <c r="X379" s="156" t="e">
        <f>IF(R379="-","",INDEX('Inventaire M-1'!$A$2:$AG$9334,MATCH(R379,'Inventaire M-1'!$A:$A,0)-1,MATCH("quantite",'Inventaire M-1'!#REF!,0)))</f>
        <v>#REF!</v>
      </c>
      <c r="Y379" s="156" t="str">
        <f>IF(S379="-","",IF(ISERROR(INDEX('Inventaire M'!$A$2:$AD$9319,MATCH(R379,'Inventaire M'!$A:$A,0)-1,MATCH("quantite",'Inventaire M'!#REF!,0))),"Sell",INDEX('Inventaire M'!$A$2:$AD$9319,MATCH(R379,'Inventaire M'!$A:$A,0)-1,MATCH("quantite",'Inventaire M'!#REF!,0))))</f>
        <v>Sell</v>
      </c>
      <c r="Z379" s="175"/>
      <c r="AA379" s="155" t="e">
        <f>IF(R379="-","",INDEX('Inventaire M-1'!$A$2:$AG$9334,MATCH(R379,'Inventaire M-1'!$A:$A,0)-1,MATCH("poids",'Inventaire M-1'!#REF!,0)))</f>
        <v>#REF!</v>
      </c>
      <c r="AB379" s="155" t="str">
        <f>IF(R379="-","",IF(ISERROR(INDEX('Inventaire M'!$A$2:$AD$9319,MATCH(R379,'Inventaire M'!$A:$A,0)-1,MATCH("poids",'Inventaire M'!#REF!,0))),"Sell",INDEX('Inventaire M'!$A$2:$AD$9319,MATCH(R379,'Inventaire M'!$A:$A,0)-1,MATCH("poids",'Inventaire M'!#REF!,0))))</f>
        <v>Sell</v>
      </c>
      <c r="AC379" s="175"/>
      <c r="AD379" s="157" t="str">
        <f t="shared" si="39"/>
        <v>0</v>
      </c>
      <c r="AE379" s="98" t="str">
        <f t="shared" si="40"/>
        <v/>
      </c>
      <c r="AF379" s="80" t="str">
        <f t="shared" si="41"/>
        <v>GRUPO ANTOLIN IRAUSA SA 10.375 30/01/2030</v>
      </c>
    </row>
    <row r="380" spans="2:32" outlineLevel="1">
      <c r="B380" s="175" t="str">
        <f>IF(OR('Inventaire M'!D158="Dispo/Liquidité Investie",'Inventaire M'!D158="Option/Future",'Inventaire M'!D158="TCN",'Inventaire M'!D158=""),"-",'Inventaire M'!A158)</f>
        <v>XS3017017990</v>
      </c>
      <c r="C380" s="175" t="str">
        <f>IF(OR('Inventaire M'!D158="Dispo/Liquidité Investie",'Inventaire M'!D158="Option/Future",'Inventaire M'!D158="TCN",'Inventaire M'!D158=""),"-",'Inventaire M'!B158)</f>
        <v>SAPPI PAPIER HOLDING GMBH 4.5 15/03/2032</v>
      </c>
      <c r="D380" s="175"/>
      <c r="E380" s="175" t="e">
        <f>IF(B380="-","",INDEX('Inventaire M'!$A$2:$AW$9305,MATCH(B380,'Inventaire M'!$A:$A,0)-1,MATCH("Cours EUR",'Inventaire M'!#REF!,0)))</f>
        <v>#REF!</v>
      </c>
      <c r="F380" s="175" t="str">
        <f>IF(B380="-","",IF(ISERROR(INDEX('Inventaire M-1'!$A$2:$AZ$9320,MATCH(B380,'Inventaire M-1'!$A:$A,0)-1,MATCH("Cours EUR",'Inventaire M-1'!#REF!,0))),"Buy",INDEX('Inventaire M-1'!$A$2:$AZ$9320,MATCH(B380,'Inventaire M-1'!$A:$A,0)-1,MATCH("Cours EUR",'Inventaire M-1'!#REF!,0))))</f>
        <v>Buy</v>
      </c>
      <c r="G380" s="175"/>
      <c r="H380" s="156" t="e">
        <f>IF(B380="-","",INDEX('Inventaire M'!$A$2:$AW$9305,MATCH(B380,'Inventaire M'!$A:$A,0)-1,MATCH("quantite",'Inventaire M'!#REF!,0)))</f>
        <v>#REF!</v>
      </c>
      <c r="I380" s="156" t="str">
        <f>IF(C380="-","",IF(ISERROR(INDEX('Inventaire M-1'!$A$2:$AZ$9320,MATCH(B380,'Inventaire M-1'!$A:$A,0)-1,MATCH("quantite",'Inventaire M-1'!#REF!,0))),"Buy",INDEX('Inventaire M-1'!$A$2:$AZ$9320,MATCH(B380,'Inventaire M-1'!$A:$A,0)-1,MATCH("quantite",'Inventaire M-1'!#REF!,0))))</f>
        <v>Buy</v>
      </c>
      <c r="J380" s="175"/>
      <c r="K380" s="155" t="e">
        <f>IF(B380="-","",INDEX('Inventaire M'!$A$2:$AW$9305,MATCH(B380,'Inventaire M'!$A:$A,0)-1,MATCH("poids",'Inventaire M'!#REF!,0)))</f>
        <v>#REF!</v>
      </c>
      <c r="L380" s="155" t="str">
        <f>IF(B380="-","",IF(ISERROR(INDEX('Inventaire M-1'!$A$2:$AZ$9320,MATCH(B380,'Inventaire M-1'!$A:$A,0)-1,MATCH("poids",'Inventaire M-1'!#REF!,0))),"Buy",INDEX('Inventaire M-1'!$A$2:$AZ$9320,MATCH(B380,'Inventaire M-1'!$A:$A,0)-1,MATCH("poids",'Inventaire M-1'!#REF!,0))))</f>
        <v>Buy</v>
      </c>
      <c r="M380" s="175"/>
      <c r="N380" s="157" t="str">
        <f t="shared" si="36"/>
        <v>0</v>
      </c>
      <c r="O380" s="98" t="str">
        <f t="shared" si="37"/>
        <v/>
      </c>
      <c r="P380" s="80" t="str">
        <f t="shared" si="38"/>
        <v>SAPPI PAPIER HOLDING GMBH 4.5 15/03/2032</v>
      </c>
      <c r="Q380" s="75">
        <v>3.5600000000000001E-8</v>
      </c>
      <c r="R380" s="175" t="str">
        <f>IF(OR('Inventaire M-1'!D133="Dispo/Liquidité Investie",'Inventaire M-1'!D133="Option/Future",'Inventaire M-1'!D133="TCN",'Inventaire M-1'!D133=""),"-",'Inventaire M-1'!A133)</f>
        <v>XS2895496680</v>
      </c>
      <c r="S380" s="175" t="str">
        <f>IF(OR('Inventaire M-1'!D133="Dispo/Liquidité Investie",'Inventaire M-1'!D133="Option/Future",'Inventaire M-1'!D133="TCN",'Inventaire M-1'!D133=""),"-",'Inventaire M-1'!B133)</f>
        <v>SECHE ENVIRONNEMENT SA 4.5 25/03/2030</v>
      </c>
      <c r="T380" s="175"/>
      <c r="U380" s="175" t="e">
        <f>IF(R380="-","",INDEX('Inventaire M-1'!$A$2:$AG$9334,MATCH(R380,'Inventaire M-1'!$A:$A,0)-1,MATCH("Cours EUR",'Inventaire M-1'!#REF!,0)))</f>
        <v>#REF!</v>
      </c>
      <c r="V380" s="175" t="str">
        <f>IF(R380="-","",IF(ISERROR(INDEX('Inventaire M'!$A$2:$AD$9319,MATCH(R380,'Inventaire M'!$A:$A,0)-1,MATCH("Cours EUR",'Inventaire M'!#REF!,0))),"Sell",INDEX('Inventaire M'!$A$2:$AD$9319,MATCH(R380,'Inventaire M'!$A:$A,0)-1,MATCH("Cours EUR",'Inventaire M'!#REF!,0))))</f>
        <v>Sell</v>
      </c>
      <c r="W380" s="175"/>
      <c r="X380" s="156" t="e">
        <f>IF(R380="-","",INDEX('Inventaire M-1'!$A$2:$AG$9334,MATCH(R380,'Inventaire M-1'!$A:$A,0)-1,MATCH("quantite",'Inventaire M-1'!#REF!,0)))</f>
        <v>#REF!</v>
      </c>
      <c r="Y380" s="156" t="str">
        <f>IF(S380="-","",IF(ISERROR(INDEX('Inventaire M'!$A$2:$AD$9319,MATCH(R380,'Inventaire M'!$A:$A,0)-1,MATCH("quantite",'Inventaire M'!#REF!,0))),"Sell",INDEX('Inventaire M'!$A$2:$AD$9319,MATCH(R380,'Inventaire M'!$A:$A,0)-1,MATCH("quantite",'Inventaire M'!#REF!,0))))</f>
        <v>Sell</v>
      </c>
      <c r="Z380" s="175"/>
      <c r="AA380" s="155" t="e">
        <f>IF(R380="-","",INDEX('Inventaire M-1'!$A$2:$AG$9334,MATCH(R380,'Inventaire M-1'!$A:$A,0)-1,MATCH("poids",'Inventaire M-1'!#REF!,0)))</f>
        <v>#REF!</v>
      </c>
      <c r="AB380" s="155" t="str">
        <f>IF(R380="-","",IF(ISERROR(INDEX('Inventaire M'!$A$2:$AD$9319,MATCH(R380,'Inventaire M'!$A:$A,0)-1,MATCH("poids",'Inventaire M'!#REF!,0))),"Sell",INDEX('Inventaire M'!$A$2:$AD$9319,MATCH(R380,'Inventaire M'!$A:$A,0)-1,MATCH("poids",'Inventaire M'!#REF!,0))))</f>
        <v>Sell</v>
      </c>
      <c r="AC380" s="175"/>
      <c r="AD380" s="157" t="str">
        <f t="shared" si="39"/>
        <v>0</v>
      </c>
      <c r="AE380" s="98" t="str">
        <f t="shared" si="40"/>
        <v/>
      </c>
      <c r="AF380" s="80" t="str">
        <f t="shared" si="41"/>
        <v>SECHE ENVIRONNEMENT SA 4.5 25/03/2030</v>
      </c>
    </row>
    <row r="381" spans="2:32" outlineLevel="1">
      <c r="B381" s="175" t="str">
        <f>IF(OR('Inventaire M'!D159="Dispo/Liquidité Investie",'Inventaire M'!D159="Option/Future",'Inventaire M'!D159="TCN",'Inventaire M'!D159=""),"-",'Inventaire M'!A159)</f>
        <v>XS3021201887</v>
      </c>
      <c r="C381" s="175" t="str">
        <f>IF(OR('Inventaire M'!D159="Dispo/Liquidité Investie",'Inventaire M'!D159="Option/Future",'Inventaire M'!D159="TCN",'Inventaire M'!D159=""),"-",'Inventaire M'!B159)</f>
        <v>SNF GROUP SA 4.5 15/03/2032</v>
      </c>
      <c r="D381" s="175"/>
      <c r="E381" s="175" t="e">
        <f>IF(B381="-","",INDEX('Inventaire M'!$A$2:$AW$9305,MATCH(B381,'Inventaire M'!$A:$A,0)-1,MATCH("Cours EUR",'Inventaire M'!#REF!,0)))</f>
        <v>#REF!</v>
      </c>
      <c r="F381" s="175" t="str">
        <f>IF(B381="-","",IF(ISERROR(INDEX('Inventaire M-1'!$A$2:$AZ$9320,MATCH(B381,'Inventaire M-1'!$A:$A,0)-1,MATCH("Cours EUR",'Inventaire M-1'!#REF!,0))),"Buy",INDEX('Inventaire M-1'!$A$2:$AZ$9320,MATCH(B381,'Inventaire M-1'!$A:$A,0)-1,MATCH("Cours EUR",'Inventaire M-1'!#REF!,0))))</f>
        <v>Buy</v>
      </c>
      <c r="G381" s="175"/>
      <c r="H381" s="156" t="e">
        <f>IF(B381="-","",INDEX('Inventaire M'!$A$2:$AW$9305,MATCH(B381,'Inventaire M'!$A:$A,0)-1,MATCH("quantite",'Inventaire M'!#REF!,0)))</f>
        <v>#REF!</v>
      </c>
      <c r="I381" s="156" t="str">
        <f>IF(C381="-","",IF(ISERROR(INDEX('Inventaire M-1'!$A$2:$AZ$9320,MATCH(B381,'Inventaire M-1'!$A:$A,0)-1,MATCH("quantite",'Inventaire M-1'!#REF!,0))),"Buy",INDEX('Inventaire M-1'!$A$2:$AZ$9320,MATCH(B381,'Inventaire M-1'!$A:$A,0)-1,MATCH("quantite",'Inventaire M-1'!#REF!,0))))</f>
        <v>Buy</v>
      </c>
      <c r="J381" s="175"/>
      <c r="K381" s="155" t="e">
        <f>IF(B381="-","",INDEX('Inventaire M'!$A$2:$AW$9305,MATCH(B381,'Inventaire M'!$A:$A,0)-1,MATCH("poids",'Inventaire M'!#REF!,0)))</f>
        <v>#REF!</v>
      </c>
      <c r="L381" s="155" t="str">
        <f>IF(B381="-","",IF(ISERROR(INDEX('Inventaire M-1'!$A$2:$AZ$9320,MATCH(B381,'Inventaire M-1'!$A:$A,0)-1,MATCH("poids",'Inventaire M-1'!#REF!,0))),"Buy",INDEX('Inventaire M-1'!$A$2:$AZ$9320,MATCH(B381,'Inventaire M-1'!$A:$A,0)-1,MATCH("poids",'Inventaire M-1'!#REF!,0))))</f>
        <v>Buy</v>
      </c>
      <c r="M381" s="175"/>
      <c r="N381" s="157" t="str">
        <f t="shared" si="36"/>
        <v>0</v>
      </c>
      <c r="O381" s="98" t="str">
        <f t="shared" si="37"/>
        <v/>
      </c>
      <c r="P381" s="80" t="str">
        <f t="shared" si="38"/>
        <v>SNF GROUP SA 4.5 15/03/2032</v>
      </c>
      <c r="Q381" s="75">
        <v>3.5700000000000002E-8</v>
      </c>
      <c r="R381" s="175" t="str">
        <f>IF(OR('Inventaire M-1'!D134="Dispo/Liquidité Investie",'Inventaire M-1'!D134="Option/Future",'Inventaire M-1'!D134="TCN",'Inventaire M-1'!D134=""),"-",'Inventaire M-1'!A134)</f>
        <v>XS2899636935</v>
      </c>
      <c r="S381" s="175" t="str">
        <f>IF(OR('Inventaire M-1'!D134="Dispo/Liquidité Investie",'Inventaire M-1'!D134="Option/Future",'Inventaire M-1'!D134="TCN",'Inventaire M-1'!D134=""),"-",'Inventaire M-1'!B134)</f>
        <v>SES SA 12/09/2054</v>
      </c>
      <c r="T381" s="175"/>
      <c r="U381" s="175" t="e">
        <f>IF(R381="-","",INDEX('Inventaire M-1'!$A$2:$AG$9334,MATCH(R381,'Inventaire M-1'!$A:$A,0)-1,MATCH("Cours EUR",'Inventaire M-1'!#REF!,0)))</f>
        <v>#REF!</v>
      </c>
      <c r="V381" s="175" t="str">
        <f>IF(R381="-","",IF(ISERROR(INDEX('Inventaire M'!$A$2:$AD$9319,MATCH(R381,'Inventaire M'!$A:$A,0)-1,MATCH("Cours EUR",'Inventaire M'!#REF!,0))),"Sell",INDEX('Inventaire M'!$A$2:$AD$9319,MATCH(R381,'Inventaire M'!$A:$A,0)-1,MATCH("Cours EUR",'Inventaire M'!#REF!,0))))</f>
        <v>Sell</v>
      </c>
      <c r="W381" s="175"/>
      <c r="X381" s="156" t="e">
        <f>IF(R381="-","",INDEX('Inventaire M-1'!$A$2:$AG$9334,MATCH(R381,'Inventaire M-1'!$A:$A,0)-1,MATCH("quantite",'Inventaire M-1'!#REF!,0)))</f>
        <v>#REF!</v>
      </c>
      <c r="Y381" s="156" t="str">
        <f>IF(S381="-","",IF(ISERROR(INDEX('Inventaire M'!$A$2:$AD$9319,MATCH(R381,'Inventaire M'!$A:$A,0)-1,MATCH("quantite",'Inventaire M'!#REF!,0))),"Sell",INDEX('Inventaire M'!$A$2:$AD$9319,MATCH(R381,'Inventaire M'!$A:$A,0)-1,MATCH("quantite",'Inventaire M'!#REF!,0))))</f>
        <v>Sell</v>
      </c>
      <c r="Z381" s="175"/>
      <c r="AA381" s="155" t="e">
        <f>IF(R381="-","",INDEX('Inventaire M-1'!$A$2:$AG$9334,MATCH(R381,'Inventaire M-1'!$A:$A,0)-1,MATCH("poids",'Inventaire M-1'!#REF!,0)))</f>
        <v>#REF!</v>
      </c>
      <c r="AB381" s="155" t="str">
        <f>IF(R381="-","",IF(ISERROR(INDEX('Inventaire M'!$A$2:$AD$9319,MATCH(R381,'Inventaire M'!$A:$A,0)-1,MATCH("poids",'Inventaire M'!#REF!,0))),"Sell",INDEX('Inventaire M'!$A$2:$AD$9319,MATCH(R381,'Inventaire M'!$A:$A,0)-1,MATCH("poids",'Inventaire M'!#REF!,0))))</f>
        <v>Sell</v>
      </c>
      <c r="AC381" s="175"/>
      <c r="AD381" s="157" t="str">
        <f t="shared" si="39"/>
        <v>0</v>
      </c>
      <c r="AE381" s="98" t="str">
        <f t="shared" si="40"/>
        <v/>
      </c>
      <c r="AF381" s="80" t="str">
        <f t="shared" si="41"/>
        <v>SES SA 12/09/2054</v>
      </c>
    </row>
    <row r="382" spans="2:32" outlineLevel="1">
      <c r="B382" s="175" t="str">
        <f>IF(OR('Inventaire M'!D160="Dispo/Liquidité Investie",'Inventaire M'!D160="Option/Future",'Inventaire M'!D160="TCN",'Inventaire M'!D160=""),"-",'Inventaire M'!A160)</f>
        <v>XS3023482436</v>
      </c>
      <c r="C382" s="175" t="str">
        <f>IF(OR('Inventaire M'!D160="Dispo/Liquidité Investie",'Inventaire M'!D160="Option/Future",'Inventaire M'!D160="TCN",'Inventaire M'!D160=""),"-",'Inventaire M'!B160)</f>
        <v>ARAMARK INTERNATIONAL FINANCE SARL 4.375 15/04/2033</v>
      </c>
      <c r="D382" s="175"/>
      <c r="E382" s="175" t="e">
        <f>IF(B382="-","",INDEX('Inventaire M'!$A$2:$AW$9305,MATCH(B382,'Inventaire M'!$A:$A,0)-1,MATCH("Cours EUR",'Inventaire M'!#REF!,0)))</f>
        <v>#REF!</v>
      </c>
      <c r="F382" s="175" t="str">
        <f>IF(B382="-","",IF(ISERROR(INDEX('Inventaire M-1'!$A$2:$AZ$9320,MATCH(B382,'Inventaire M-1'!$A:$A,0)-1,MATCH("Cours EUR",'Inventaire M-1'!#REF!,0))),"Buy",INDEX('Inventaire M-1'!$A$2:$AZ$9320,MATCH(B382,'Inventaire M-1'!$A:$A,0)-1,MATCH("Cours EUR",'Inventaire M-1'!#REF!,0))))</f>
        <v>Buy</v>
      </c>
      <c r="G382" s="175"/>
      <c r="H382" s="156" t="e">
        <f>IF(B382="-","",INDEX('Inventaire M'!$A$2:$AW$9305,MATCH(B382,'Inventaire M'!$A:$A,0)-1,MATCH("quantite",'Inventaire M'!#REF!,0)))</f>
        <v>#REF!</v>
      </c>
      <c r="I382" s="156" t="str">
        <f>IF(C382="-","",IF(ISERROR(INDEX('Inventaire M-1'!$A$2:$AZ$9320,MATCH(B382,'Inventaire M-1'!$A:$A,0)-1,MATCH("quantite",'Inventaire M-1'!#REF!,0))),"Buy",INDEX('Inventaire M-1'!$A$2:$AZ$9320,MATCH(B382,'Inventaire M-1'!$A:$A,0)-1,MATCH("quantite",'Inventaire M-1'!#REF!,0))))</f>
        <v>Buy</v>
      </c>
      <c r="J382" s="175"/>
      <c r="K382" s="155" t="e">
        <f>IF(B382="-","",INDEX('Inventaire M'!$A$2:$AW$9305,MATCH(B382,'Inventaire M'!$A:$A,0)-1,MATCH("poids",'Inventaire M'!#REF!,0)))</f>
        <v>#REF!</v>
      </c>
      <c r="L382" s="155" t="str">
        <f>IF(B382="-","",IF(ISERROR(INDEX('Inventaire M-1'!$A$2:$AZ$9320,MATCH(B382,'Inventaire M-1'!$A:$A,0)-1,MATCH("poids",'Inventaire M-1'!#REF!,0))),"Buy",INDEX('Inventaire M-1'!$A$2:$AZ$9320,MATCH(B382,'Inventaire M-1'!$A:$A,0)-1,MATCH("poids",'Inventaire M-1'!#REF!,0))))</f>
        <v>Buy</v>
      </c>
      <c r="M382" s="175"/>
      <c r="N382" s="157" t="str">
        <f t="shared" si="36"/>
        <v>0</v>
      </c>
      <c r="O382" s="98" t="str">
        <f t="shared" si="37"/>
        <v/>
      </c>
      <c r="P382" s="80" t="str">
        <f t="shared" si="38"/>
        <v>ARAMARK INTERNATIONAL FINANCE SARL 4.375 15/04/2033</v>
      </c>
      <c r="Q382" s="75">
        <v>3.5800000000000003E-8</v>
      </c>
      <c r="R382" s="175" t="str">
        <f>IF(OR('Inventaire M-1'!D135="Dispo/Liquidité Investie",'Inventaire M-1'!D135="Option/Future",'Inventaire M-1'!D135="TCN",'Inventaire M-1'!D135=""),"-",'Inventaire M-1'!A135)</f>
        <v>XS2903463987</v>
      </c>
      <c r="S382" s="175" t="str">
        <f>IF(OR('Inventaire M-1'!D135="Dispo/Liquidité Investie",'Inventaire M-1'!D135="Option/Future",'Inventaire M-1'!D135="TCN",'Inventaire M-1'!D135=""),"-",'Inventaire M-1'!B135)</f>
        <v>PERRIGO FINANCE UNLIMITED CO 5.375 30/09/2032</v>
      </c>
      <c r="T382" s="175"/>
      <c r="U382" s="175" t="e">
        <f>IF(R382="-","",INDEX('Inventaire M-1'!$A$2:$AG$9334,MATCH(R382,'Inventaire M-1'!$A:$A,0)-1,MATCH("Cours EUR",'Inventaire M-1'!#REF!,0)))</f>
        <v>#REF!</v>
      </c>
      <c r="V382" s="175" t="str">
        <f>IF(R382="-","",IF(ISERROR(INDEX('Inventaire M'!$A$2:$AD$9319,MATCH(R382,'Inventaire M'!$A:$A,0)-1,MATCH("Cours EUR",'Inventaire M'!#REF!,0))),"Sell",INDEX('Inventaire M'!$A$2:$AD$9319,MATCH(R382,'Inventaire M'!$A:$A,0)-1,MATCH("Cours EUR",'Inventaire M'!#REF!,0))))</f>
        <v>Sell</v>
      </c>
      <c r="W382" s="175"/>
      <c r="X382" s="156" t="e">
        <f>IF(R382="-","",INDEX('Inventaire M-1'!$A$2:$AG$9334,MATCH(R382,'Inventaire M-1'!$A:$A,0)-1,MATCH("quantite",'Inventaire M-1'!#REF!,0)))</f>
        <v>#REF!</v>
      </c>
      <c r="Y382" s="156" t="str">
        <f>IF(S382="-","",IF(ISERROR(INDEX('Inventaire M'!$A$2:$AD$9319,MATCH(R382,'Inventaire M'!$A:$A,0)-1,MATCH("quantite",'Inventaire M'!#REF!,0))),"Sell",INDEX('Inventaire M'!$A$2:$AD$9319,MATCH(R382,'Inventaire M'!$A:$A,0)-1,MATCH("quantite",'Inventaire M'!#REF!,0))))</f>
        <v>Sell</v>
      </c>
      <c r="Z382" s="175"/>
      <c r="AA382" s="155" t="e">
        <f>IF(R382="-","",INDEX('Inventaire M-1'!$A$2:$AG$9334,MATCH(R382,'Inventaire M-1'!$A:$A,0)-1,MATCH("poids",'Inventaire M-1'!#REF!,0)))</f>
        <v>#REF!</v>
      </c>
      <c r="AB382" s="155" t="str">
        <f>IF(R382="-","",IF(ISERROR(INDEX('Inventaire M'!$A$2:$AD$9319,MATCH(R382,'Inventaire M'!$A:$A,0)-1,MATCH("poids",'Inventaire M'!#REF!,0))),"Sell",INDEX('Inventaire M'!$A$2:$AD$9319,MATCH(R382,'Inventaire M'!$A:$A,0)-1,MATCH("poids",'Inventaire M'!#REF!,0))))</f>
        <v>Sell</v>
      </c>
      <c r="AC382" s="175"/>
      <c r="AD382" s="157" t="str">
        <f t="shared" si="39"/>
        <v>0</v>
      </c>
      <c r="AE382" s="98" t="str">
        <f t="shared" si="40"/>
        <v/>
      </c>
      <c r="AF382" s="80" t="str">
        <f t="shared" si="41"/>
        <v>PERRIGO FINANCE UNLIMITED CO 5.375 30/09/2032</v>
      </c>
    </row>
    <row r="383" spans="2:32" outlineLevel="1">
      <c r="B383" s="175" t="str">
        <f>IF(OR('Inventaire M'!D161="Dispo/Liquidité Investie",'Inventaire M'!D161="Option/Future",'Inventaire M'!D161="TCN",'Inventaire M'!D161=""),"-",'Inventaire M'!A161)</f>
        <v>XS3023780375</v>
      </c>
      <c r="C383" s="175" t="str">
        <f>IF(OR('Inventaire M'!D161="Dispo/Liquidité Investie",'Inventaire M'!D161="Option/Future",'Inventaire M'!D161="TCN",'Inventaire M'!D161=""),"-",'Inventaire M'!B161)</f>
        <v>CELANESE US HOLDINGS LLC 5 15/04/2031</v>
      </c>
      <c r="D383" s="175"/>
      <c r="E383" s="175" t="e">
        <f>IF(B383="-","",INDEX('Inventaire M'!$A$2:$AW$9305,MATCH(B383,'Inventaire M'!$A:$A,0)-1,MATCH("Cours EUR",'Inventaire M'!#REF!,0)))</f>
        <v>#REF!</v>
      </c>
      <c r="F383" s="175" t="str">
        <f>IF(B383="-","",IF(ISERROR(INDEX('Inventaire M-1'!$A$2:$AZ$9320,MATCH(B383,'Inventaire M-1'!$A:$A,0)-1,MATCH("Cours EUR",'Inventaire M-1'!#REF!,0))),"Buy",INDEX('Inventaire M-1'!$A$2:$AZ$9320,MATCH(B383,'Inventaire M-1'!$A:$A,0)-1,MATCH("Cours EUR",'Inventaire M-1'!#REF!,0))))</f>
        <v>Buy</v>
      </c>
      <c r="G383" s="175"/>
      <c r="H383" s="156" t="e">
        <f>IF(B383="-","",INDEX('Inventaire M'!$A$2:$AW$9305,MATCH(B383,'Inventaire M'!$A:$A,0)-1,MATCH("quantite",'Inventaire M'!#REF!,0)))</f>
        <v>#REF!</v>
      </c>
      <c r="I383" s="156" t="str">
        <f>IF(C383="-","",IF(ISERROR(INDEX('Inventaire M-1'!$A$2:$AZ$9320,MATCH(B383,'Inventaire M-1'!$A:$A,0)-1,MATCH("quantite",'Inventaire M-1'!#REF!,0))),"Buy",INDEX('Inventaire M-1'!$A$2:$AZ$9320,MATCH(B383,'Inventaire M-1'!$A:$A,0)-1,MATCH("quantite",'Inventaire M-1'!#REF!,0))))</f>
        <v>Buy</v>
      </c>
      <c r="J383" s="175"/>
      <c r="K383" s="155" t="e">
        <f>IF(B383="-","",INDEX('Inventaire M'!$A$2:$AW$9305,MATCH(B383,'Inventaire M'!$A:$A,0)-1,MATCH("poids",'Inventaire M'!#REF!,0)))</f>
        <v>#REF!</v>
      </c>
      <c r="L383" s="155" t="str">
        <f>IF(B383="-","",IF(ISERROR(INDEX('Inventaire M-1'!$A$2:$AZ$9320,MATCH(B383,'Inventaire M-1'!$A:$A,0)-1,MATCH("poids",'Inventaire M-1'!#REF!,0))),"Buy",INDEX('Inventaire M-1'!$A$2:$AZ$9320,MATCH(B383,'Inventaire M-1'!$A:$A,0)-1,MATCH("poids",'Inventaire M-1'!#REF!,0))))</f>
        <v>Buy</v>
      </c>
      <c r="M383" s="175"/>
      <c r="N383" s="157" t="str">
        <f t="shared" si="36"/>
        <v>0</v>
      </c>
      <c r="O383" s="98" t="str">
        <f t="shared" si="37"/>
        <v/>
      </c>
      <c r="P383" s="80" t="str">
        <f t="shared" si="38"/>
        <v>CELANESE US HOLDINGS LLC 5 15/04/2031</v>
      </c>
      <c r="Q383" s="75">
        <v>3.5899999999999997E-8</v>
      </c>
      <c r="R383" s="175" t="str">
        <f>IF(OR('Inventaire M-1'!D136="Dispo/Liquidité Investie",'Inventaire M-1'!D136="Option/Future",'Inventaire M-1'!D136="TCN",'Inventaire M-1'!D136=""),"-",'Inventaire M-1'!A136)</f>
        <v>XS2904660755</v>
      </c>
      <c r="S383" s="175" t="str">
        <f>IF(OR('Inventaire M-1'!D136="Dispo/Liquidité Investie",'Inventaire M-1'!D136="Option/Future",'Inventaire M-1'!D136="TCN",'Inventaire M-1'!D136=""),"-",'Inventaire M-1'!B136)</f>
        <v>CESAR SPA 6.5 30/09/2031</v>
      </c>
      <c r="T383" s="175"/>
      <c r="U383" s="175" t="e">
        <f>IF(R383="-","",INDEX('Inventaire M-1'!$A$2:$AG$9334,MATCH(R383,'Inventaire M-1'!$A:$A,0)-1,MATCH("Cours EUR",'Inventaire M-1'!#REF!,0)))</f>
        <v>#REF!</v>
      </c>
      <c r="V383" s="175" t="str">
        <f>IF(R383="-","",IF(ISERROR(INDEX('Inventaire M'!$A$2:$AD$9319,MATCH(R383,'Inventaire M'!$A:$A,0)-1,MATCH("Cours EUR",'Inventaire M'!#REF!,0))),"Sell",INDEX('Inventaire M'!$A$2:$AD$9319,MATCH(R383,'Inventaire M'!$A:$A,0)-1,MATCH("Cours EUR",'Inventaire M'!#REF!,0))))</f>
        <v>Sell</v>
      </c>
      <c r="W383" s="175"/>
      <c r="X383" s="156" t="e">
        <f>IF(R383="-","",INDEX('Inventaire M-1'!$A$2:$AG$9334,MATCH(R383,'Inventaire M-1'!$A:$A,0)-1,MATCH("quantite",'Inventaire M-1'!#REF!,0)))</f>
        <v>#REF!</v>
      </c>
      <c r="Y383" s="156" t="str">
        <f>IF(S383="-","",IF(ISERROR(INDEX('Inventaire M'!$A$2:$AD$9319,MATCH(R383,'Inventaire M'!$A:$A,0)-1,MATCH("quantite",'Inventaire M'!#REF!,0))),"Sell",INDEX('Inventaire M'!$A$2:$AD$9319,MATCH(R383,'Inventaire M'!$A:$A,0)-1,MATCH("quantite",'Inventaire M'!#REF!,0))))</f>
        <v>Sell</v>
      </c>
      <c r="Z383" s="175"/>
      <c r="AA383" s="155" t="e">
        <f>IF(R383="-","",INDEX('Inventaire M-1'!$A$2:$AG$9334,MATCH(R383,'Inventaire M-1'!$A:$A,0)-1,MATCH("poids",'Inventaire M-1'!#REF!,0)))</f>
        <v>#REF!</v>
      </c>
      <c r="AB383" s="155" t="str">
        <f>IF(R383="-","",IF(ISERROR(INDEX('Inventaire M'!$A$2:$AD$9319,MATCH(R383,'Inventaire M'!$A:$A,0)-1,MATCH("poids",'Inventaire M'!#REF!,0))),"Sell",INDEX('Inventaire M'!$A$2:$AD$9319,MATCH(R383,'Inventaire M'!$A:$A,0)-1,MATCH("poids",'Inventaire M'!#REF!,0))))</f>
        <v>Sell</v>
      </c>
      <c r="AC383" s="175"/>
      <c r="AD383" s="157" t="str">
        <f t="shared" si="39"/>
        <v>0</v>
      </c>
      <c r="AE383" s="98" t="str">
        <f t="shared" si="40"/>
        <v/>
      </c>
      <c r="AF383" s="80" t="str">
        <f t="shared" si="41"/>
        <v>CESAR SPA 6.5 30/09/2031</v>
      </c>
    </row>
    <row r="384" spans="2:32" outlineLevel="1">
      <c r="B384" s="175" t="str">
        <f>IF(OR('Inventaire M'!D162="Dispo/Liquidité Investie",'Inventaire M'!D162="Option/Future",'Inventaire M'!D162="TCN",'Inventaire M'!D162=""),"-",'Inventaire M'!A162)</f>
        <v>XS3025437982</v>
      </c>
      <c r="C384" s="175" t="str">
        <f>IF(OR('Inventaire M'!D162="Dispo/Liquidité Investie",'Inventaire M'!D162="Option/Future",'Inventaire M'!D162="TCN",'Inventaire M'!D162=""),"-",'Inventaire M'!B162)</f>
        <v>ALSTRIA OFFICE REIT-AG 5.5 20/03/2031</v>
      </c>
      <c r="D384" s="175"/>
      <c r="E384" s="175" t="e">
        <f>IF(B384="-","",INDEX('Inventaire M'!$A$2:$AW$9305,MATCH(B384,'Inventaire M'!$A:$A,0)-1,MATCH("Cours EUR",'Inventaire M'!#REF!,0)))</f>
        <v>#REF!</v>
      </c>
      <c r="F384" s="175" t="str">
        <f>IF(B384="-","",IF(ISERROR(INDEX('Inventaire M-1'!$A$2:$AZ$9320,MATCH(B384,'Inventaire M-1'!$A:$A,0)-1,MATCH("Cours EUR",'Inventaire M-1'!#REF!,0))),"Buy",INDEX('Inventaire M-1'!$A$2:$AZ$9320,MATCH(B384,'Inventaire M-1'!$A:$A,0)-1,MATCH("Cours EUR",'Inventaire M-1'!#REF!,0))))</f>
        <v>Buy</v>
      </c>
      <c r="G384" s="175"/>
      <c r="H384" s="156" t="e">
        <f>IF(B384="-","",INDEX('Inventaire M'!$A$2:$AW$9305,MATCH(B384,'Inventaire M'!$A:$A,0)-1,MATCH("quantite",'Inventaire M'!#REF!,0)))</f>
        <v>#REF!</v>
      </c>
      <c r="I384" s="156" t="str">
        <f>IF(C384="-","",IF(ISERROR(INDEX('Inventaire M-1'!$A$2:$AZ$9320,MATCH(B384,'Inventaire M-1'!$A:$A,0)-1,MATCH("quantite",'Inventaire M-1'!#REF!,0))),"Buy",INDEX('Inventaire M-1'!$A$2:$AZ$9320,MATCH(B384,'Inventaire M-1'!$A:$A,0)-1,MATCH("quantite",'Inventaire M-1'!#REF!,0))))</f>
        <v>Buy</v>
      </c>
      <c r="J384" s="175"/>
      <c r="K384" s="155" t="e">
        <f>IF(B384="-","",INDEX('Inventaire M'!$A$2:$AW$9305,MATCH(B384,'Inventaire M'!$A:$A,0)-1,MATCH("poids",'Inventaire M'!#REF!,0)))</f>
        <v>#REF!</v>
      </c>
      <c r="L384" s="155" t="str">
        <f>IF(B384="-","",IF(ISERROR(INDEX('Inventaire M-1'!$A$2:$AZ$9320,MATCH(B384,'Inventaire M-1'!$A:$A,0)-1,MATCH("poids",'Inventaire M-1'!#REF!,0))),"Buy",INDEX('Inventaire M-1'!$A$2:$AZ$9320,MATCH(B384,'Inventaire M-1'!$A:$A,0)-1,MATCH("poids",'Inventaire M-1'!#REF!,0))))</f>
        <v>Buy</v>
      </c>
      <c r="M384" s="175"/>
      <c r="N384" s="157" t="str">
        <f t="shared" si="36"/>
        <v>0</v>
      </c>
      <c r="O384" s="98" t="str">
        <f t="shared" si="37"/>
        <v/>
      </c>
      <c r="P384" s="80" t="str">
        <f t="shared" si="38"/>
        <v>ALSTRIA OFFICE REIT-AG 5.5 20/03/2031</v>
      </c>
      <c r="Q384" s="75">
        <v>3.5999999999999998E-8</v>
      </c>
      <c r="R384" s="175" t="str">
        <f>IF(OR('Inventaire M-1'!D137="Dispo/Liquidité Investie",'Inventaire M-1'!D137="Option/Future",'Inventaire M-1'!D137="TCN",'Inventaire M-1'!D137=""),"-",'Inventaire M-1'!A137)</f>
        <v>XS2904791774</v>
      </c>
      <c r="S384" s="175" t="str">
        <f>IF(OR('Inventaire M-1'!D137="Dispo/Liquidité Investie",'Inventaire M-1'!D137="Option/Future",'Inventaire M-1'!D137="TCN",'Inventaire M-1'!D137=""),"-",'Inventaire M-1'!B137)</f>
        <v>CPI PROPERTY GROUP SA 6 27/01/2032</v>
      </c>
      <c r="T384" s="175"/>
      <c r="U384" s="175" t="e">
        <f>IF(R384="-","",INDEX('Inventaire M-1'!$A$2:$AG$9334,MATCH(R384,'Inventaire M-1'!$A:$A,0)-1,MATCH("Cours EUR",'Inventaire M-1'!#REF!,0)))</f>
        <v>#REF!</v>
      </c>
      <c r="V384" s="175" t="str">
        <f>IF(R384="-","",IF(ISERROR(INDEX('Inventaire M'!$A$2:$AD$9319,MATCH(R384,'Inventaire M'!$A:$A,0)-1,MATCH("Cours EUR",'Inventaire M'!#REF!,0))),"Sell",INDEX('Inventaire M'!$A$2:$AD$9319,MATCH(R384,'Inventaire M'!$A:$A,0)-1,MATCH("Cours EUR",'Inventaire M'!#REF!,0))))</f>
        <v>Sell</v>
      </c>
      <c r="W384" s="175"/>
      <c r="X384" s="156" t="e">
        <f>IF(R384="-","",INDEX('Inventaire M-1'!$A$2:$AG$9334,MATCH(R384,'Inventaire M-1'!$A:$A,0)-1,MATCH("quantite",'Inventaire M-1'!#REF!,0)))</f>
        <v>#REF!</v>
      </c>
      <c r="Y384" s="156" t="str">
        <f>IF(S384="-","",IF(ISERROR(INDEX('Inventaire M'!$A$2:$AD$9319,MATCH(R384,'Inventaire M'!$A:$A,0)-1,MATCH("quantite",'Inventaire M'!#REF!,0))),"Sell",INDEX('Inventaire M'!$A$2:$AD$9319,MATCH(R384,'Inventaire M'!$A:$A,0)-1,MATCH("quantite",'Inventaire M'!#REF!,0))))</f>
        <v>Sell</v>
      </c>
      <c r="Z384" s="175"/>
      <c r="AA384" s="155" t="e">
        <f>IF(R384="-","",INDEX('Inventaire M-1'!$A$2:$AG$9334,MATCH(R384,'Inventaire M-1'!$A:$A,0)-1,MATCH("poids",'Inventaire M-1'!#REF!,0)))</f>
        <v>#REF!</v>
      </c>
      <c r="AB384" s="155" t="str">
        <f>IF(R384="-","",IF(ISERROR(INDEX('Inventaire M'!$A$2:$AD$9319,MATCH(R384,'Inventaire M'!$A:$A,0)-1,MATCH("poids",'Inventaire M'!#REF!,0))),"Sell",INDEX('Inventaire M'!$A$2:$AD$9319,MATCH(R384,'Inventaire M'!$A:$A,0)-1,MATCH("poids",'Inventaire M'!#REF!,0))))</f>
        <v>Sell</v>
      </c>
      <c r="AC384" s="175"/>
      <c r="AD384" s="157" t="str">
        <f t="shared" si="39"/>
        <v>0</v>
      </c>
      <c r="AE384" s="98" t="str">
        <f t="shared" si="40"/>
        <v/>
      </c>
      <c r="AF384" s="80" t="str">
        <f t="shared" si="41"/>
        <v>CPI PROPERTY GROUP SA 6 27/01/2032</v>
      </c>
    </row>
    <row r="385" spans="2:32" outlineLevel="1">
      <c r="B385" s="175" t="str">
        <f>IF(OR('Inventaire M'!D163="Dispo/Liquidité Investie",'Inventaire M'!D163="Option/Future",'Inventaire M'!D163="TCN",'Inventaire M'!D163=""),"-",'Inventaire M'!A163)</f>
        <v>XS3028067729</v>
      </c>
      <c r="C385" s="175" t="str">
        <f>IF(OR('Inventaire M'!D163="Dispo/Liquidité Investie",'Inventaire M'!D163="Option/Future",'Inventaire M'!D163="TCN",'Inventaire M'!D163=""),"-",'Inventaire M'!B163)</f>
        <v>EIRCOM FINANCE DAC 5 30/04/2031</v>
      </c>
      <c r="D385" s="175"/>
      <c r="E385" s="175" t="e">
        <f>IF(B385="-","",INDEX('Inventaire M'!$A$2:$AW$9305,MATCH(B385,'Inventaire M'!$A:$A,0)-1,MATCH("Cours EUR",'Inventaire M'!#REF!,0)))</f>
        <v>#REF!</v>
      </c>
      <c r="F385" s="175" t="str">
        <f>IF(B385="-","",IF(ISERROR(INDEX('Inventaire M-1'!$A$2:$AZ$9320,MATCH(B385,'Inventaire M-1'!$A:$A,0)-1,MATCH("Cours EUR",'Inventaire M-1'!#REF!,0))),"Buy",INDEX('Inventaire M-1'!$A$2:$AZ$9320,MATCH(B385,'Inventaire M-1'!$A:$A,0)-1,MATCH("Cours EUR",'Inventaire M-1'!#REF!,0))))</f>
        <v>Buy</v>
      </c>
      <c r="G385" s="175"/>
      <c r="H385" s="156" t="e">
        <f>IF(B385="-","",INDEX('Inventaire M'!$A$2:$AW$9305,MATCH(B385,'Inventaire M'!$A:$A,0)-1,MATCH("quantite",'Inventaire M'!#REF!,0)))</f>
        <v>#REF!</v>
      </c>
      <c r="I385" s="156" t="str">
        <f>IF(C385="-","",IF(ISERROR(INDEX('Inventaire M-1'!$A$2:$AZ$9320,MATCH(B385,'Inventaire M-1'!$A:$A,0)-1,MATCH("quantite",'Inventaire M-1'!#REF!,0))),"Buy",INDEX('Inventaire M-1'!$A$2:$AZ$9320,MATCH(B385,'Inventaire M-1'!$A:$A,0)-1,MATCH("quantite",'Inventaire M-1'!#REF!,0))))</f>
        <v>Buy</v>
      </c>
      <c r="J385" s="175"/>
      <c r="K385" s="155" t="e">
        <f>IF(B385="-","",INDEX('Inventaire M'!$A$2:$AW$9305,MATCH(B385,'Inventaire M'!$A:$A,0)-1,MATCH("poids",'Inventaire M'!#REF!,0)))</f>
        <v>#REF!</v>
      </c>
      <c r="L385" s="155" t="str">
        <f>IF(B385="-","",IF(ISERROR(INDEX('Inventaire M-1'!$A$2:$AZ$9320,MATCH(B385,'Inventaire M-1'!$A:$A,0)-1,MATCH("poids",'Inventaire M-1'!#REF!,0))),"Buy",INDEX('Inventaire M-1'!$A$2:$AZ$9320,MATCH(B385,'Inventaire M-1'!$A:$A,0)-1,MATCH("poids",'Inventaire M-1'!#REF!,0))))</f>
        <v>Buy</v>
      </c>
      <c r="M385" s="175"/>
      <c r="N385" s="157" t="str">
        <f t="shared" si="36"/>
        <v>0</v>
      </c>
      <c r="O385" s="98" t="str">
        <f t="shared" si="37"/>
        <v/>
      </c>
      <c r="P385" s="80" t="str">
        <f t="shared" si="38"/>
        <v>EIRCOM FINANCE DAC 5 30/04/2031</v>
      </c>
      <c r="Q385" s="75">
        <v>3.6099999999999999E-8</v>
      </c>
      <c r="R385" s="175" t="str">
        <f>IF(OR('Inventaire M-1'!D138="Dispo/Liquidité Investie",'Inventaire M-1'!D138="Option/Future",'Inventaire M-1'!D138="TCN",'Inventaire M-1'!D138=""),"-",'Inventaire M-1'!A138)</f>
        <v>XS2905386962</v>
      </c>
      <c r="S385" s="175" t="str">
        <f>IF(OR('Inventaire M-1'!D138="Dispo/Liquidité Investie",'Inventaire M-1'!D138="Option/Future",'Inventaire M-1'!D138="TCN",'Inventaire M-1'!D138=""),"-",'Inventaire M-1'!B138)</f>
        <v>IHO VERWALTUNGS GMBH 6.75 15/11/2029</v>
      </c>
      <c r="T385" s="175"/>
      <c r="U385" s="175" t="e">
        <f>IF(R385="-","",INDEX('Inventaire M-1'!$A$2:$AG$9334,MATCH(R385,'Inventaire M-1'!$A:$A,0)-1,MATCH("Cours EUR",'Inventaire M-1'!#REF!,0)))</f>
        <v>#REF!</v>
      </c>
      <c r="V385" s="175" t="str">
        <f>IF(R385="-","",IF(ISERROR(INDEX('Inventaire M'!$A$2:$AD$9319,MATCH(R385,'Inventaire M'!$A:$A,0)-1,MATCH("Cours EUR",'Inventaire M'!#REF!,0))),"Sell",INDEX('Inventaire M'!$A$2:$AD$9319,MATCH(R385,'Inventaire M'!$A:$A,0)-1,MATCH("Cours EUR",'Inventaire M'!#REF!,0))))</f>
        <v>Sell</v>
      </c>
      <c r="W385" s="175"/>
      <c r="X385" s="156" t="e">
        <f>IF(R385="-","",INDEX('Inventaire M-1'!$A$2:$AG$9334,MATCH(R385,'Inventaire M-1'!$A:$A,0)-1,MATCH("quantite",'Inventaire M-1'!#REF!,0)))</f>
        <v>#REF!</v>
      </c>
      <c r="Y385" s="156" t="str">
        <f>IF(S385="-","",IF(ISERROR(INDEX('Inventaire M'!$A$2:$AD$9319,MATCH(R385,'Inventaire M'!$A:$A,0)-1,MATCH("quantite",'Inventaire M'!#REF!,0))),"Sell",INDEX('Inventaire M'!$A$2:$AD$9319,MATCH(R385,'Inventaire M'!$A:$A,0)-1,MATCH("quantite",'Inventaire M'!#REF!,0))))</f>
        <v>Sell</v>
      </c>
      <c r="Z385" s="175"/>
      <c r="AA385" s="155" t="e">
        <f>IF(R385="-","",INDEX('Inventaire M-1'!$A$2:$AG$9334,MATCH(R385,'Inventaire M-1'!$A:$A,0)-1,MATCH("poids",'Inventaire M-1'!#REF!,0)))</f>
        <v>#REF!</v>
      </c>
      <c r="AB385" s="155" t="str">
        <f>IF(R385="-","",IF(ISERROR(INDEX('Inventaire M'!$A$2:$AD$9319,MATCH(R385,'Inventaire M'!$A:$A,0)-1,MATCH("poids",'Inventaire M'!#REF!,0))),"Sell",INDEX('Inventaire M'!$A$2:$AD$9319,MATCH(R385,'Inventaire M'!$A:$A,0)-1,MATCH("poids",'Inventaire M'!#REF!,0))))</f>
        <v>Sell</v>
      </c>
      <c r="AC385" s="175"/>
      <c r="AD385" s="157" t="str">
        <f t="shared" si="39"/>
        <v>0</v>
      </c>
      <c r="AE385" s="98" t="str">
        <f t="shared" si="40"/>
        <v/>
      </c>
      <c r="AF385" s="80" t="str">
        <f t="shared" si="41"/>
        <v>IHO VERWALTUNGS GMBH 6.75 15/11/2029</v>
      </c>
    </row>
    <row r="386" spans="2:32" outlineLevel="1">
      <c r="B386" s="175" t="str">
        <f>IF(OR('Inventaire M'!D164="Dispo/Liquidité Investie",'Inventaire M'!D164="Option/Future",'Inventaire M'!D164="TCN",'Inventaire M'!D164=""),"-",'Inventaire M'!A164)</f>
        <v>XS3037643304</v>
      </c>
      <c r="C386" s="175" t="str">
        <f>IF(OR('Inventaire M'!D164="Dispo/Liquidité Investie",'Inventaire M'!D164="Option/Future",'Inventaire M'!D164="TCN",'Inventaire M'!D164=""),"-",'Inventaire M'!B164)</f>
        <v>OPAL BIDCO SAS 5.5 31/03/2032</v>
      </c>
      <c r="D386" s="175"/>
      <c r="E386" s="175" t="e">
        <f>IF(B386="-","",INDEX('Inventaire M'!$A$2:$AW$9305,MATCH(B386,'Inventaire M'!$A:$A,0)-1,MATCH("Cours EUR",'Inventaire M'!#REF!,0)))</f>
        <v>#REF!</v>
      </c>
      <c r="F386" s="175" t="str">
        <f>IF(B386="-","",IF(ISERROR(INDEX('Inventaire M-1'!$A$2:$AZ$9320,MATCH(B386,'Inventaire M-1'!$A:$A,0)-1,MATCH("Cours EUR",'Inventaire M-1'!#REF!,0))),"Buy",INDEX('Inventaire M-1'!$A$2:$AZ$9320,MATCH(B386,'Inventaire M-1'!$A:$A,0)-1,MATCH("Cours EUR",'Inventaire M-1'!#REF!,0))))</f>
        <v>Buy</v>
      </c>
      <c r="G386" s="175"/>
      <c r="H386" s="156" t="e">
        <f>IF(B386="-","",INDEX('Inventaire M'!$A$2:$AW$9305,MATCH(B386,'Inventaire M'!$A:$A,0)-1,MATCH("quantite",'Inventaire M'!#REF!,0)))</f>
        <v>#REF!</v>
      </c>
      <c r="I386" s="156" t="str">
        <f>IF(C386="-","",IF(ISERROR(INDEX('Inventaire M-1'!$A$2:$AZ$9320,MATCH(B386,'Inventaire M-1'!$A:$A,0)-1,MATCH("quantite",'Inventaire M-1'!#REF!,0))),"Buy",INDEX('Inventaire M-1'!$A$2:$AZ$9320,MATCH(B386,'Inventaire M-1'!$A:$A,0)-1,MATCH("quantite",'Inventaire M-1'!#REF!,0))))</f>
        <v>Buy</v>
      </c>
      <c r="J386" s="175"/>
      <c r="K386" s="155" t="e">
        <f>IF(B386="-","",INDEX('Inventaire M'!$A$2:$AW$9305,MATCH(B386,'Inventaire M'!$A:$A,0)-1,MATCH("poids",'Inventaire M'!#REF!,0)))</f>
        <v>#REF!</v>
      </c>
      <c r="L386" s="155" t="str">
        <f>IF(B386="-","",IF(ISERROR(INDEX('Inventaire M-1'!$A$2:$AZ$9320,MATCH(B386,'Inventaire M-1'!$A:$A,0)-1,MATCH("poids",'Inventaire M-1'!#REF!,0))),"Buy",INDEX('Inventaire M-1'!$A$2:$AZ$9320,MATCH(B386,'Inventaire M-1'!$A:$A,0)-1,MATCH("poids",'Inventaire M-1'!#REF!,0))))</f>
        <v>Buy</v>
      </c>
      <c r="M386" s="175"/>
      <c r="N386" s="157" t="str">
        <f t="shared" si="36"/>
        <v>0</v>
      </c>
      <c r="O386" s="98" t="str">
        <f t="shared" si="37"/>
        <v/>
      </c>
      <c r="P386" s="80" t="str">
        <f t="shared" si="38"/>
        <v>OPAL BIDCO SAS 5.5 31/03/2032</v>
      </c>
      <c r="Q386" s="75">
        <v>3.62E-8</v>
      </c>
      <c r="R386" s="175" t="str">
        <f>IF(OR('Inventaire M-1'!D139="Dispo/Liquidité Investie",'Inventaire M-1'!D139="Option/Future",'Inventaire M-1'!D139="TCN",'Inventaire M-1'!D139=""),"-",'Inventaire M-1'!A139)</f>
        <v>XS2906227785</v>
      </c>
      <c r="S386" s="175" t="str">
        <f>IF(OR('Inventaire M-1'!D139="Dispo/Liquidité Investie",'Inventaire M-1'!D139="Option/Future",'Inventaire M-1'!D139="TCN",'Inventaire M-1'!D139=""),"-",'Inventaire M-1'!B139)</f>
        <v>OEG FINANCE PLC 7.25 27/09/2029</v>
      </c>
      <c r="T386" s="175"/>
      <c r="U386" s="175" t="e">
        <f>IF(R386="-","",INDEX('Inventaire M-1'!$A$2:$AG$9334,MATCH(R386,'Inventaire M-1'!$A:$A,0)-1,MATCH("Cours EUR",'Inventaire M-1'!#REF!,0)))</f>
        <v>#REF!</v>
      </c>
      <c r="V386" s="175" t="str">
        <f>IF(R386="-","",IF(ISERROR(INDEX('Inventaire M'!$A$2:$AD$9319,MATCH(R386,'Inventaire M'!$A:$A,0)-1,MATCH("Cours EUR",'Inventaire M'!#REF!,0))),"Sell",INDEX('Inventaire M'!$A$2:$AD$9319,MATCH(R386,'Inventaire M'!$A:$A,0)-1,MATCH("Cours EUR",'Inventaire M'!#REF!,0))))</f>
        <v>Sell</v>
      </c>
      <c r="W386" s="175"/>
      <c r="X386" s="156" t="e">
        <f>IF(R386="-","",INDEX('Inventaire M-1'!$A$2:$AG$9334,MATCH(R386,'Inventaire M-1'!$A:$A,0)-1,MATCH("quantite",'Inventaire M-1'!#REF!,0)))</f>
        <v>#REF!</v>
      </c>
      <c r="Y386" s="156" t="str">
        <f>IF(S386="-","",IF(ISERROR(INDEX('Inventaire M'!$A$2:$AD$9319,MATCH(R386,'Inventaire M'!$A:$A,0)-1,MATCH("quantite",'Inventaire M'!#REF!,0))),"Sell",INDEX('Inventaire M'!$A$2:$AD$9319,MATCH(R386,'Inventaire M'!$A:$A,0)-1,MATCH("quantite",'Inventaire M'!#REF!,0))))</f>
        <v>Sell</v>
      </c>
      <c r="Z386" s="175"/>
      <c r="AA386" s="155" t="e">
        <f>IF(R386="-","",INDEX('Inventaire M-1'!$A$2:$AG$9334,MATCH(R386,'Inventaire M-1'!$A:$A,0)-1,MATCH("poids",'Inventaire M-1'!#REF!,0)))</f>
        <v>#REF!</v>
      </c>
      <c r="AB386" s="155" t="str">
        <f>IF(R386="-","",IF(ISERROR(INDEX('Inventaire M'!$A$2:$AD$9319,MATCH(R386,'Inventaire M'!$A:$A,0)-1,MATCH("poids",'Inventaire M'!#REF!,0))),"Sell",INDEX('Inventaire M'!$A$2:$AD$9319,MATCH(R386,'Inventaire M'!$A:$A,0)-1,MATCH("poids",'Inventaire M'!#REF!,0))))</f>
        <v>Sell</v>
      </c>
      <c r="AC386" s="175"/>
      <c r="AD386" s="157" t="str">
        <f t="shared" si="39"/>
        <v>0</v>
      </c>
      <c r="AE386" s="98" t="str">
        <f t="shared" si="40"/>
        <v/>
      </c>
      <c r="AF386" s="80" t="str">
        <f t="shared" si="41"/>
        <v>OEG FINANCE PLC 7.25 27/09/2029</v>
      </c>
    </row>
    <row r="387" spans="2:32" outlineLevel="1">
      <c r="B387" s="175" t="str">
        <f>IF(OR('Inventaire M'!D165="Dispo/Liquidité Investie",'Inventaire M'!D165="Option/Future",'Inventaire M'!D165="TCN",'Inventaire M'!D165=""),"-",'Inventaire M'!A165)</f>
        <v>XS3041347637</v>
      </c>
      <c r="C387" s="175" t="str">
        <f>IF(OR('Inventaire M'!D165="Dispo/Liquidité Investie",'Inventaire M'!D165="Option/Future",'Inventaire M'!D165="TCN",'Inventaire M'!D165=""),"-",'Inventaire M'!B165)</f>
        <v>ITELYUM REGENERATION SPA 5.75 15/04/2030</v>
      </c>
      <c r="D387" s="175"/>
      <c r="E387" s="175" t="e">
        <f>IF(B387="-","",INDEX('Inventaire M'!$A$2:$AW$9305,MATCH(B387,'Inventaire M'!$A:$A,0)-1,MATCH("Cours EUR",'Inventaire M'!#REF!,0)))</f>
        <v>#REF!</v>
      </c>
      <c r="F387" s="175" t="str">
        <f>IF(B387="-","",IF(ISERROR(INDEX('Inventaire M-1'!$A$2:$AZ$9320,MATCH(B387,'Inventaire M-1'!$A:$A,0)-1,MATCH("Cours EUR",'Inventaire M-1'!#REF!,0))),"Buy",INDEX('Inventaire M-1'!$A$2:$AZ$9320,MATCH(B387,'Inventaire M-1'!$A:$A,0)-1,MATCH("Cours EUR",'Inventaire M-1'!#REF!,0))))</f>
        <v>Buy</v>
      </c>
      <c r="G387" s="175"/>
      <c r="H387" s="156" t="e">
        <f>IF(B387="-","",INDEX('Inventaire M'!$A$2:$AW$9305,MATCH(B387,'Inventaire M'!$A:$A,0)-1,MATCH("quantite",'Inventaire M'!#REF!,0)))</f>
        <v>#REF!</v>
      </c>
      <c r="I387" s="156" t="str">
        <f>IF(C387="-","",IF(ISERROR(INDEX('Inventaire M-1'!$A$2:$AZ$9320,MATCH(B387,'Inventaire M-1'!$A:$A,0)-1,MATCH("quantite",'Inventaire M-1'!#REF!,0))),"Buy",INDEX('Inventaire M-1'!$A$2:$AZ$9320,MATCH(B387,'Inventaire M-1'!$A:$A,0)-1,MATCH("quantite",'Inventaire M-1'!#REF!,0))))</f>
        <v>Buy</v>
      </c>
      <c r="J387" s="175"/>
      <c r="K387" s="155" t="e">
        <f>IF(B387="-","",INDEX('Inventaire M'!$A$2:$AW$9305,MATCH(B387,'Inventaire M'!$A:$A,0)-1,MATCH("poids",'Inventaire M'!#REF!,0)))</f>
        <v>#REF!</v>
      </c>
      <c r="L387" s="155" t="str">
        <f>IF(B387="-","",IF(ISERROR(INDEX('Inventaire M-1'!$A$2:$AZ$9320,MATCH(B387,'Inventaire M-1'!$A:$A,0)-1,MATCH("poids",'Inventaire M-1'!#REF!,0))),"Buy",INDEX('Inventaire M-1'!$A$2:$AZ$9320,MATCH(B387,'Inventaire M-1'!$A:$A,0)-1,MATCH("poids",'Inventaire M-1'!#REF!,0))))</f>
        <v>Buy</v>
      </c>
      <c r="M387" s="175"/>
      <c r="N387" s="157" t="str">
        <f t="shared" si="36"/>
        <v>0</v>
      </c>
      <c r="O387" s="98" t="str">
        <f t="shared" si="37"/>
        <v/>
      </c>
      <c r="P387" s="80" t="str">
        <f t="shared" si="38"/>
        <v>ITELYUM REGENERATION SPA 5.75 15/04/2030</v>
      </c>
      <c r="Q387" s="75">
        <v>3.6300000000000001E-8</v>
      </c>
      <c r="R387" s="175" t="str">
        <f>IF(OR('Inventaire M-1'!D140="Dispo/Liquidité Investie",'Inventaire M-1'!D140="Option/Future",'Inventaire M-1'!D140="TCN",'Inventaire M-1'!D140=""),"-",'Inventaire M-1'!A140)</f>
        <v>XS2910523716</v>
      </c>
      <c r="S387" s="175" t="str">
        <f>IF(OR('Inventaire M-1'!D140="Dispo/Liquidité Investie",'Inventaire M-1'!D140="Option/Future",'Inventaire M-1'!D140="TCN",'Inventaire M-1'!D140=""),"-",'Inventaire M-1'!B140)</f>
        <v>DYNAMO NEWCO II GMBH 6.25 15/10/2031</v>
      </c>
      <c r="T387" s="175"/>
      <c r="U387" s="175" t="e">
        <f>IF(R387="-","",INDEX('Inventaire M-1'!$A$2:$AG$9334,MATCH(R387,'Inventaire M-1'!$A:$A,0)-1,MATCH("Cours EUR",'Inventaire M-1'!#REF!,0)))</f>
        <v>#REF!</v>
      </c>
      <c r="V387" s="175" t="str">
        <f>IF(R387="-","",IF(ISERROR(INDEX('Inventaire M'!$A$2:$AD$9319,MATCH(R387,'Inventaire M'!$A:$A,0)-1,MATCH("Cours EUR",'Inventaire M'!#REF!,0))),"Sell",INDEX('Inventaire M'!$A$2:$AD$9319,MATCH(R387,'Inventaire M'!$A:$A,0)-1,MATCH("Cours EUR",'Inventaire M'!#REF!,0))))</f>
        <v>Sell</v>
      </c>
      <c r="W387" s="175"/>
      <c r="X387" s="156" t="e">
        <f>IF(R387="-","",INDEX('Inventaire M-1'!$A$2:$AG$9334,MATCH(R387,'Inventaire M-1'!$A:$A,0)-1,MATCH("quantite",'Inventaire M-1'!#REF!,0)))</f>
        <v>#REF!</v>
      </c>
      <c r="Y387" s="156" t="str">
        <f>IF(S387="-","",IF(ISERROR(INDEX('Inventaire M'!$A$2:$AD$9319,MATCH(R387,'Inventaire M'!$A:$A,0)-1,MATCH("quantite",'Inventaire M'!#REF!,0))),"Sell",INDEX('Inventaire M'!$A$2:$AD$9319,MATCH(R387,'Inventaire M'!$A:$A,0)-1,MATCH("quantite",'Inventaire M'!#REF!,0))))</f>
        <v>Sell</v>
      </c>
      <c r="Z387" s="175"/>
      <c r="AA387" s="155" t="e">
        <f>IF(R387="-","",INDEX('Inventaire M-1'!$A$2:$AG$9334,MATCH(R387,'Inventaire M-1'!$A:$A,0)-1,MATCH("poids",'Inventaire M-1'!#REF!,0)))</f>
        <v>#REF!</v>
      </c>
      <c r="AB387" s="155" t="str">
        <f>IF(R387="-","",IF(ISERROR(INDEX('Inventaire M'!$A$2:$AD$9319,MATCH(R387,'Inventaire M'!$A:$A,0)-1,MATCH("poids",'Inventaire M'!#REF!,0))),"Sell",INDEX('Inventaire M'!$A$2:$AD$9319,MATCH(R387,'Inventaire M'!$A:$A,0)-1,MATCH("poids",'Inventaire M'!#REF!,0))))</f>
        <v>Sell</v>
      </c>
      <c r="AC387" s="175"/>
      <c r="AD387" s="157" t="str">
        <f t="shared" si="39"/>
        <v>0</v>
      </c>
      <c r="AE387" s="98" t="str">
        <f t="shared" si="40"/>
        <v/>
      </c>
      <c r="AF387" s="80" t="str">
        <f t="shared" si="41"/>
        <v>DYNAMO NEWCO II GMBH 6.25 15/10/2031</v>
      </c>
    </row>
    <row r="388" spans="2:32" outlineLevel="1">
      <c r="B388" s="175" t="str">
        <f>IF(OR('Inventaire M'!D166="Dispo/Liquidité Investie",'Inventaire M'!D166="Option/Future",'Inventaire M'!D166="TCN",'Inventaire M'!D166=""),"-",'Inventaire M'!A166)</f>
        <v>XS3046352319</v>
      </c>
      <c r="C388" s="175" t="str">
        <f>IF(OR('Inventaire M'!D166="Dispo/Liquidité Investie",'Inventaire M'!D166="Option/Future",'Inventaire M'!D166="TCN",'Inventaire M'!D166=""),"-",'Inventaire M'!B166)</f>
        <v>CIDRON AIDA FINCO SARL 7 27/10/2031</v>
      </c>
      <c r="D388" s="175"/>
      <c r="E388" s="175" t="e">
        <f>IF(B388="-","",INDEX('Inventaire M'!$A$2:$AW$9305,MATCH(B388,'Inventaire M'!$A:$A,0)-1,MATCH("Cours EUR",'Inventaire M'!#REF!,0)))</f>
        <v>#REF!</v>
      </c>
      <c r="F388" s="175" t="str">
        <f>IF(B388="-","",IF(ISERROR(INDEX('Inventaire M-1'!$A$2:$AZ$9320,MATCH(B388,'Inventaire M-1'!$A:$A,0)-1,MATCH("Cours EUR",'Inventaire M-1'!#REF!,0))),"Buy",INDEX('Inventaire M-1'!$A$2:$AZ$9320,MATCH(B388,'Inventaire M-1'!$A:$A,0)-1,MATCH("Cours EUR",'Inventaire M-1'!#REF!,0))))</f>
        <v>Buy</v>
      </c>
      <c r="G388" s="175"/>
      <c r="H388" s="156" t="e">
        <f>IF(B388="-","",INDEX('Inventaire M'!$A$2:$AW$9305,MATCH(B388,'Inventaire M'!$A:$A,0)-1,MATCH("quantite",'Inventaire M'!#REF!,0)))</f>
        <v>#REF!</v>
      </c>
      <c r="I388" s="156" t="str">
        <f>IF(C388="-","",IF(ISERROR(INDEX('Inventaire M-1'!$A$2:$AZ$9320,MATCH(B388,'Inventaire M-1'!$A:$A,0)-1,MATCH("quantite",'Inventaire M-1'!#REF!,0))),"Buy",INDEX('Inventaire M-1'!$A$2:$AZ$9320,MATCH(B388,'Inventaire M-1'!$A:$A,0)-1,MATCH("quantite",'Inventaire M-1'!#REF!,0))))</f>
        <v>Buy</v>
      </c>
      <c r="J388" s="175"/>
      <c r="K388" s="155" t="e">
        <f>IF(B388="-","",INDEX('Inventaire M'!$A$2:$AW$9305,MATCH(B388,'Inventaire M'!$A:$A,0)-1,MATCH("poids",'Inventaire M'!#REF!,0)))</f>
        <v>#REF!</v>
      </c>
      <c r="L388" s="155" t="str">
        <f>IF(B388="-","",IF(ISERROR(INDEX('Inventaire M-1'!$A$2:$AZ$9320,MATCH(B388,'Inventaire M-1'!$A:$A,0)-1,MATCH("poids",'Inventaire M-1'!#REF!,0))),"Buy",INDEX('Inventaire M-1'!$A$2:$AZ$9320,MATCH(B388,'Inventaire M-1'!$A:$A,0)-1,MATCH("poids",'Inventaire M-1'!#REF!,0))))</f>
        <v>Buy</v>
      </c>
      <c r="M388" s="175"/>
      <c r="N388" s="157" t="str">
        <f t="shared" si="36"/>
        <v>0</v>
      </c>
      <c r="O388" s="98" t="str">
        <f t="shared" si="37"/>
        <v/>
      </c>
      <c r="P388" s="80" t="str">
        <f t="shared" si="38"/>
        <v>CIDRON AIDA FINCO SARL 7 27/10/2031</v>
      </c>
      <c r="Q388" s="75">
        <v>3.6400000000000002E-8</v>
      </c>
      <c r="R388" s="175" t="str">
        <f>IF(OR('Inventaire M-1'!D141="Dispo/Liquidité Investie",'Inventaire M-1'!D141="Option/Future",'Inventaire M-1'!D141="TCN",'Inventaire M-1'!D141=""),"-",'Inventaire M-1'!A141)</f>
        <v>XS2910536452</v>
      </c>
      <c r="S388" s="175" t="str">
        <f>IF(OR('Inventaire M-1'!D141="Dispo/Liquidité Investie",'Inventaire M-1'!D141="Option/Future",'Inventaire M-1'!D141="TCN",'Inventaire M-1'!D141=""),"-",'Inventaire M-1'!B141)</f>
        <v>FRESSNAPF HOLDING SE 5.25 31/10/2031</v>
      </c>
      <c r="T388" s="175"/>
      <c r="U388" s="175" t="e">
        <f>IF(R388="-","",INDEX('Inventaire M-1'!$A$2:$AG$9334,MATCH(R388,'Inventaire M-1'!$A:$A,0)-1,MATCH("Cours EUR",'Inventaire M-1'!#REF!,0)))</f>
        <v>#REF!</v>
      </c>
      <c r="V388" s="175" t="str">
        <f>IF(R388="-","",IF(ISERROR(INDEX('Inventaire M'!$A$2:$AD$9319,MATCH(R388,'Inventaire M'!$A:$A,0)-1,MATCH("Cours EUR",'Inventaire M'!#REF!,0))),"Sell",INDEX('Inventaire M'!$A$2:$AD$9319,MATCH(R388,'Inventaire M'!$A:$A,0)-1,MATCH("Cours EUR",'Inventaire M'!#REF!,0))))</f>
        <v>Sell</v>
      </c>
      <c r="W388" s="175"/>
      <c r="X388" s="156" t="e">
        <f>IF(R388="-","",INDEX('Inventaire M-1'!$A$2:$AG$9334,MATCH(R388,'Inventaire M-1'!$A:$A,0)-1,MATCH("quantite",'Inventaire M-1'!#REF!,0)))</f>
        <v>#REF!</v>
      </c>
      <c r="Y388" s="156" t="str">
        <f>IF(S388="-","",IF(ISERROR(INDEX('Inventaire M'!$A$2:$AD$9319,MATCH(R388,'Inventaire M'!$A:$A,0)-1,MATCH("quantite",'Inventaire M'!#REF!,0))),"Sell",INDEX('Inventaire M'!$A$2:$AD$9319,MATCH(R388,'Inventaire M'!$A:$A,0)-1,MATCH("quantite",'Inventaire M'!#REF!,0))))</f>
        <v>Sell</v>
      </c>
      <c r="Z388" s="175"/>
      <c r="AA388" s="155" t="e">
        <f>IF(R388="-","",INDEX('Inventaire M-1'!$A$2:$AG$9334,MATCH(R388,'Inventaire M-1'!$A:$A,0)-1,MATCH("poids",'Inventaire M-1'!#REF!,0)))</f>
        <v>#REF!</v>
      </c>
      <c r="AB388" s="155" t="str">
        <f>IF(R388="-","",IF(ISERROR(INDEX('Inventaire M'!$A$2:$AD$9319,MATCH(R388,'Inventaire M'!$A:$A,0)-1,MATCH("poids",'Inventaire M'!#REF!,0))),"Sell",INDEX('Inventaire M'!$A$2:$AD$9319,MATCH(R388,'Inventaire M'!$A:$A,0)-1,MATCH("poids",'Inventaire M'!#REF!,0))))</f>
        <v>Sell</v>
      </c>
      <c r="AC388" s="175"/>
      <c r="AD388" s="157" t="str">
        <f t="shared" si="39"/>
        <v>0</v>
      </c>
      <c r="AE388" s="98" t="str">
        <f t="shared" si="40"/>
        <v/>
      </c>
      <c r="AF388" s="80" t="str">
        <f t="shared" si="41"/>
        <v>FRESSNAPF HOLDING SE 5.25 31/10/2031</v>
      </c>
    </row>
    <row r="389" spans="2:32" outlineLevel="1">
      <c r="B389" s="175" t="str">
        <f>IF(OR('Inventaire M'!D167="Dispo/Liquidité Investie",'Inventaire M'!D167="Option/Future",'Inventaire M'!D167="TCN",'Inventaire M'!D167=""),"-",'Inventaire M'!A167)</f>
        <v>XS3047452316</v>
      </c>
      <c r="C389" s="175" t="str">
        <f>IF(OR('Inventaire M'!D167="Dispo/Liquidité Investie",'Inventaire M'!D167="Option/Future",'Inventaire M'!D167="TCN",'Inventaire M'!D167=""),"-",'Inventaire M'!B167)</f>
        <v>LOTTOMATICA GROUP SPA 4.875 31/01/2031</v>
      </c>
      <c r="D389" s="175"/>
      <c r="E389" s="175" t="e">
        <f>IF(B389="-","",INDEX('Inventaire M'!$A$2:$AW$9305,MATCH(B389,'Inventaire M'!$A:$A,0)-1,MATCH("Cours EUR",'Inventaire M'!#REF!,0)))</f>
        <v>#REF!</v>
      </c>
      <c r="F389" s="175" t="str">
        <f>IF(B389="-","",IF(ISERROR(INDEX('Inventaire M-1'!$A$2:$AZ$9320,MATCH(B389,'Inventaire M-1'!$A:$A,0)-1,MATCH("Cours EUR",'Inventaire M-1'!#REF!,0))),"Buy",INDEX('Inventaire M-1'!$A$2:$AZ$9320,MATCH(B389,'Inventaire M-1'!$A:$A,0)-1,MATCH("Cours EUR",'Inventaire M-1'!#REF!,0))))</f>
        <v>Buy</v>
      </c>
      <c r="G389" s="175"/>
      <c r="H389" s="156" t="e">
        <f>IF(B389="-","",INDEX('Inventaire M'!$A$2:$AW$9305,MATCH(B389,'Inventaire M'!$A:$A,0)-1,MATCH("quantite",'Inventaire M'!#REF!,0)))</f>
        <v>#REF!</v>
      </c>
      <c r="I389" s="156" t="str">
        <f>IF(C389="-","",IF(ISERROR(INDEX('Inventaire M-1'!$A$2:$AZ$9320,MATCH(B389,'Inventaire M-1'!$A:$A,0)-1,MATCH("quantite",'Inventaire M-1'!#REF!,0))),"Buy",INDEX('Inventaire M-1'!$A$2:$AZ$9320,MATCH(B389,'Inventaire M-1'!$A:$A,0)-1,MATCH("quantite",'Inventaire M-1'!#REF!,0))))</f>
        <v>Buy</v>
      </c>
      <c r="J389" s="175"/>
      <c r="K389" s="155" t="e">
        <f>IF(B389="-","",INDEX('Inventaire M'!$A$2:$AW$9305,MATCH(B389,'Inventaire M'!$A:$A,0)-1,MATCH("poids",'Inventaire M'!#REF!,0)))</f>
        <v>#REF!</v>
      </c>
      <c r="L389" s="155" t="str">
        <f>IF(B389="-","",IF(ISERROR(INDEX('Inventaire M-1'!$A$2:$AZ$9320,MATCH(B389,'Inventaire M-1'!$A:$A,0)-1,MATCH("poids",'Inventaire M-1'!#REF!,0))),"Buy",INDEX('Inventaire M-1'!$A$2:$AZ$9320,MATCH(B389,'Inventaire M-1'!$A:$A,0)-1,MATCH("poids",'Inventaire M-1'!#REF!,0))))</f>
        <v>Buy</v>
      </c>
      <c r="M389" s="175"/>
      <c r="N389" s="157" t="str">
        <f t="shared" si="36"/>
        <v>0</v>
      </c>
      <c r="O389" s="98" t="str">
        <f t="shared" si="37"/>
        <v/>
      </c>
      <c r="P389" s="80" t="str">
        <f t="shared" si="38"/>
        <v>LOTTOMATICA GROUP SPA 4.875 31/01/2031</v>
      </c>
      <c r="Q389" s="75">
        <v>3.6500000000000003E-8</v>
      </c>
      <c r="R389" s="175" t="str">
        <f>IF(OR('Inventaire M-1'!D142="Dispo/Liquidité Investie",'Inventaire M-1'!D142="Option/Future",'Inventaire M-1'!D142="TCN",'Inventaire M-1'!D142=""),"-",'Inventaire M-1'!A142)</f>
        <v>XS2911131253</v>
      </c>
      <c r="S389" s="175" t="str">
        <f>IF(OR('Inventaire M-1'!D142="Dispo/Liquidité Investie",'Inventaire M-1'!D142="Option/Future",'Inventaire M-1'!D142="TCN",'Inventaire M-1'!D142=""),"-",'Inventaire M-1'!B142)</f>
        <v>APCOA GROUP GMBH 6 15/04/2031</v>
      </c>
      <c r="T389" s="175"/>
      <c r="U389" s="175" t="e">
        <f>IF(R389="-","",INDEX('Inventaire M-1'!$A$2:$AG$9334,MATCH(R389,'Inventaire M-1'!$A:$A,0)-1,MATCH("Cours EUR",'Inventaire M-1'!#REF!,0)))</f>
        <v>#REF!</v>
      </c>
      <c r="V389" s="175" t="str">
        <f>IF(R389="-","",IF(ISERROR(INDEX('Inventaire M'!$A$2:$AD$9319,MATCH(R389,'Inventaire M'!$A:$A,0)-1,MATCH("Cours EUR",'Inventaire M'!#REF!,0))),"Sell",INDEX('Inventaire M'!$A$2:$AD$9319,MATCH(R389,'Inventaire M'!$A:$A,0)-1,MATCH("Cours EUR",'Inventaire M'!#REF!,0))))</f>
        <v>Sell</v>
      </c>
      <c r="W389" s="175"/>
      <c r="X389" s="156" t="e">
        <f>IF(R389="-","",INDEX('Inventaire M-1'!$A$2:$AG$9334,MATCH(R389,'Inventaire M-1'!$A:$A,0)-1,MATCH("quantite",'Inventaire M-1'!#REF!,0)))</f>
        <v>#REF!</v>
      </c>
      <c r="Y389" s="156" t="str">
        <f>IF(S389="-","",IF(ISERROR(INDEX('Inventaire M'!$A$2:$AD$9319,MATCH(R389,'Inventaire M'!$A:$A,0)-1,MATCH("quantite",'Inventaire M'!#REF!,0))),"Sell",INDEX('Inventaire M'!$A$2:$AD$9319,MATCH(R389,'Inventaire M'!$A:$A,0)-1,MATCH("quantite",'Inventaire M'!#REF!,0))))</f>
        <v>Sell</v>
      </c>
      <c r="Z389" s="175"/>
      <c r="AA389" s="155" t="e">
        <f>IF(R389="-","",INDEX('Inventaire M-1'!$A$2:$AG$9334,MATCH(R389,'Inventaire M-1'!$A:$A,0)-1,MATCH("poids",'Inventaire M-1'!#REF!,0)))</f>
        <v>#REF!</v>
      </c>
      <c r="AB389" s="155" t="str">
        <f>IF(R389="-","",IF(ISERROR(INDEX('Inventaire M'!$A$2:$AD$9319,MATCH(R389,'Inventaire M'!$A:$A,0)-1,MATCH("poids",'Inventaire M'!#REF!,0))),"Sell",INDEX('Inventaire M'!$A$2:$AD$9319,MATCH(R389,'Inventaire M'!$A:$A,0)-1,MATCH("poids",'Inventaire M'!#REF!,0))))</f>
        <v>Sell</v>
      </c>
      <c r="AC389" s="175"/>
      <c r="AD389" s="157" t="str">
        <f t="shared" si="39"/>
        <v>0</v>
      </c>
      <c r="AE389" s="98" t="str">
        <f t="shared" si="40"/>
        <v/>
      </c>
      <c r="AF389" s="80" t="str">
        <f t="shared" si="41"/>
        <v>APCOA GROUP GMBH 6 15/04/2031</v>
      </c>
    </row>
    <row r="390" spans="2:32" outlineLevel="1">
      <c r="B390" s="175" t="str">
        <f>IF(OR('Inventaire M'!D168="Dispo/Liquidité Investie",'Inventaire M'!D168="Option/Future",'Inventaire M'!D168="TCN",'Inventaire M'!D168=""),"-",'Inventaire M'!A168)</f>
        <v>XS3049411971</v>
      </c>
      <c r="C390" s="175" t="str">
        <f>IF(OR('Inventaire M'!D168="Dispo/Liquidité Investie",'Inventaire M'!D168="Option/Future",'Inventaire M'!D168="TCN",'Inventaire M'!D168=""),"-",'Inventaire M'!B168)</f>
        <v>LHMC FINCO 2 SARL 8.625 15/05/2030</v>
      </c>
      <c r="D390" s="175"/>
      <c r="E390" s="175" t="e">
        <f>IF(B390="-","",INDEX('Inventaire M'!$A$2:$AW$9305,MATCH(B390,'Inventaire M'!$A:$A,0)-1,MATCH("Cours EUR",'Inventaire M'!#REF!,0)))</f>
        <v>#REF!</v>
      </c>
      <c r="F390" s="175" t="str">
        <f>IF(B390="-","",IF(ISERROR(INDEX('Inventaire M-1'!$A$2:$AZ$9320,MATCH(B390,'Inventaire M-1'!$A:$A,0)-1,MATCH("Cours EUR",'Inventaire M-1'!#REF!,0))),"Buy",INDEX('Inventaire M-1'!$A$2:$AZ$9320,MATCH(B390,'Inventaire M-1'!$A:$A,0)-1,MATCH("Cours EUR",'Inventaire M-1'!#REF!,0))))</f>
        <v>Buy</v>
      </c>
      <c r="G390" s="175"/>
      <c r="H390" s="156" t="e">
        <f>IF(B390="-","",INDEX('Inventaire M'!$A$2:$AW$9305,MATCH(B390,'Inventaire M'!$A:$A,0)-1,MATCH("quantite",'Inventaire M'!#REF!,0)))</f>
        <v>#REF!</v>
      </c>
      <c r="I390" s="156" t="str">
        <f>IF(C390="-","",IF(ISERROR(INDEX('Inventaire M-1'!$A$2:$AZ$9320,MATCH(B390,'Inventaire M-1'!$A:$A,0)-1,MATCH("quantite",'Inventaire M-1'!#REF!,0))),"Buy",INDEX('Inventaire M-1'!$A$2:$AZ$9320,MATCH(B390,'Inventaire M-1'!$A:$A,0)-1,MATCH("quantite",'Inventaire M-1'!#REF!,0))))</f>
        <v>Buy</v>
      </c>
      <c r="J390" s="175"/>
      <c r="K390" s="155" t="e">
        <f>IF(B390="-","",INDEX('Inventaire M'!$A$2:$AW$9305,MATCH(B390,'Inventaire M'!$A:$A,0)-1,MATCH("poids",'Inventaire M'!#REF!,0)))</f>
        <v>#REF!</v>
      </c>
      <c r="L390" s="155" t="str">
        <f>IF(B390="-","",IF(ISERROR(INDEX('Inventaire M-1'!$A$2:$AZ$9320,MATCH(B390,'Inventaire M-1'!$A:$A,0)-1,MATCH("poids",'Inventaire M-1'!#REF!,0))),"Buy",INDEX('Inventaire M-1'!$A$2:$AZ$9320,MATCH(B390,'Inventaire M-1'!$A:$A,0)-1,MATCH("poids",'Inventaire M-1'!#REF!,0))))</f>
        <v>Buy</v>
      </c>
      <c r="M390" s="175"/>
      <c r="N390" s="157" t="str">
        <f t="shared" si="36"/>
        <v>0</v>
      </c>
      <c r="O390" s="98" t="str">
        <f t="shared" si="37"/>
        <v/>
      </c>
      <c r="P390" s="80" t="str">
        <f t="shared" si="38"/>
        <v>LHMC FINCO 2 SARL 8.625 15/05/2030</v>
      </c>
      <c r="Q390" s="75">
        <v>3.6599999999999997E-8</v>
      </c>
      <c r="R390" s="175" t="str">
        <f>IF(OR('Inventaire M-1'!D143="Dispo/Liquidité Investie",'Inventaire M-1'!D143="Option/Future",'Inventaire M-1'!D143="TCN",'Inventaire M-1'!D143=""),"-",'Inventaire M-1'!A143)</f>
        <v>XS2913056797</v>
      </c>
      <c r="S390" s="175" t="str">
        <f>IF(OR('Inventaire M-1'!D143="Dispo/Liquidité Investie",'Inventaire M-1'!D143="Option/Future",'Inventaire M-1'!D143="TCN",'Inventaire M-1'!D143=""),"-",'Inventaire M-1'!B143)</f>
        <v>KONINKLIJKE FRIESLANDCAMPINA NV PERP</v>
      </c>
      <c r="T390" s="175"/>
      <c r="U390" s="175" t="e">
        <f>IF(R390="-","",INDEX('Inventaire M-1'!$A$2:$AG$9334,MATCH(R390,'Inventaire M-1'!$A:$A,0)-1,MATCH("Cours EUR",'Inventaire M-1'!#REF!,0)))</f>
        <v>#REF!</v>
      </c>
      <c r="V390" s="175" t="str">
        <f>IF(R390="-","",IF(ISERROR(INDEX('Inventaire M'!$A$2:$AD$9319,MATCH(R390,'Inventaire M'!$A:$A,0)-1,MATCH("Cours EUR",'Inventaire M'!#REF!,0))),"Sell",INDEX('Inventaire M'!$A$2:$AD$9319,MATCH(R390,'Inventaire M'!$A:$A,0)-1,MATCH("Cours EUR",'Inventaire M'!#REF!,0))))</f>
        <v>Sell</v>
      </c>
      <c r="W390" s="175"/>
      <c r="X390" s="156" t="e">
        <f>IF(R390="-","",INDEX('Inventaire M-1'!$A$2:$AG$9334,MATCH(R390,'Inventaire M-1'!$A:$A,0)-1,MATCH("quantite",'Inventaire M-1'!#REF!,0)))</f>
        <v>#REF!</v>
      </c>
      <c r="Y390" s="156" t="str">
        <f>IF(S390="-","",IF(ISERROR(INDEX('Inventaire M'!$A$2:$AD$9319,MATCH(R390,'Inventaire M'!$A:$A,0)-1,MATCH("quantite",'Inventaire M'!#REF!,0))),"Sell",INDEX('Inventaire M'!$A$2:$AD$9319,MATCH(R390,'Inventaire M'!$A:$A,0)-1,MATCH("quantite",'Inventaire M'!#REF!,0))))</f>
        <v>Sell</v>
      </c>
      <c r="Z390" s="175"/>
      <c r="AA390" s="155" t="e">
        <f>IF(R390="-","",INDEX('Inventaire M-1'!$A$2:$AG$9334,MATCH(R390,'Inventaire M-1'!$A:$A,0)-1,MATCH("poids",'Inventaire M-1'!#REF!,0)))</f>
        <v>#REF!</v>
      </c>
      <c r="AB390" s="155" t="str">
        <f>IF(R390="-","",IF(ISERROR(INDEX('Inventaire M'!$A$2:$AD$9319,MATCH(R390,'Inventaire M'!$A:$A,0)-1,MATCH("poids",'Inventaire M'!#REF!,0))),"Sell",INDEX('Inventaire M'!$A$2:$AD$9319,MATCH(R390,'Inventaire M'!$A:$A,0)-1,MATCH("poids",'Inventaire M'!#REF!,0))))</f>
        <v>Sell</v>
      </c>
      <c r="AC390" s="175"/>
      <c r="AD390" s="157" t="str">
        <f t="shared" si="39"/>
        <v>0</v>
      </c>
      <c r="AE390" s="98" t="str">
        <f t="shared" si="40"/>
        <v/>
      </c>
      <c r="AF390" s="80" t="str">
        <f t="shared" si="41"/>
        <v>KONINKLIJKE FRIESLANDCAMPINA NV PERP</v>
      </c>
    </row>
    <row r="391" spans="2:32" outlineLevel="1">
      <c r="B391" s="175" t="str">
        <f>IF(OR('Inventaire M'!D169="Dispo/Liquidité Investie",'Inventaire M'!D169="Option/Future",'Inventaire M'!D169="TCN",'Inventaire M'!D169=""),"-",'Inventaire M'!A169)</f>
        <v>XS3049816013</v>
      </c>
      <c r="C391" s="175" t="str">
        <f>IF(OR('Inventaire M'!D169="Dispo/Liquidité Investie",'Inventaire M'!D169="Option/Future",'Inventaire M'!D169="TCN",'Inventaire M'!D169=""),"-",'Inventaire M'!B169)</f>
        <v>FLUTTER TREASURY DAC 4 04/06/2031</v>
      </c>
      <c r="D391" s="175"/>
      <c r="E391" s="175" t="e">
        <f>IF(B391="-","",INDEX('Inventaire M'!$A$2:$AW$9305,MATCH(B391,'Inventaire M'!$A:$A,0)-1,MATCH("Cours EUR",'Inventaire M'!#REF!,0)))</f>
        <v>#REF!</v>
      </c>
      <c r="F391" s="175" t="str">
        <f>IF(B391="-","",IF(ISERROR(INDEX('Inventaire M-1'!$A$2:$AZ$9320,MATCH(B391,'Inventaire M-1'!$A:$A,0)-1,MATCH("Cours EUR",'Inventaire M-1'!#REF!,0))),"Buy",INDEX('Inventaire M-1'!$A$2:$AZ$9320,MATCH(B391,'Inventaire M-1'!$A:$A,0)-1,MATCH("Cours EUR",'Inventaire M-1'!#REF!,0))))</f>
        <v>Buy</v>
      </c>
      <c r="G391" s="175"/>
      <c r="H391" s="156" t="e">
        <f>IF(B391="-","",INDEX('Inventaire M'!$A$2:$AW$9305,MATCH(B391,'Inventaire M'!$A:$A,0)-1,MATCH("quantite",'Inventaire M'!#REF!,0)))</f>
        <v>#REF!</v>
      </c>
      <c r="I391" s="156" t="str">
        <f>IF(C391="-","",IF(ISERROR(INDEX('Inventaire M-1'!$A$2:$AZ$9320,MATCH(B391,'Inventaire M-1'!$A:$A,0)-1,MATCH("quantite",'Inventaire M-1'!#REF!,0))),"Buy",INDEX('Inventaire M-1'!$A$2:$AZ$9320,MATCH(B391,'Inventaire M-1'!$A:$A,0)-1,MATCH("quantite",'Inventaire M-1'!#REF!,0))))</f>
        <v>Buy</v>
      </c>
      <c r="J391" s="175"/>
      <c r="K391" s="155" t="e">
        <f>IF(B391="-","",INDEX('Inventaire M'!$A$2:$AW$9305,MATCH(B391,'Inventaire M'!$A:$A,0)-1,MATCH("poids",'Inventaire M'!#REF!,0)))</f>
        <v>#REF!</v>
      </c>
      <c r="L391" s="155" t="str">
        <f>IF(B391="-","",IF(ISERROR(INDEX('Inventaire M-1'!$A$2:$AZ$9320,MATCH(B391,'Inventaire M-1'!$A:$A,0)-1,MATCH("poids",'Inventaire M-1'!#REF!,0))),"Buy",INDEX('Inventaire M-1'!$A$2:$AZ$9320,MATCH(B391,'Inventaire M-1'!$A:$A,0)-1,MATCH("poids",'Inventaire M-1'!#REF!,0))))</f>
        <v>Buy</v>
      </c>
      <c r="M391" s="175"/>
      <c r="N391" s="157" t="str">
        <f t="shared" si="36"/>
        <v>0</v>
      </c>
      <c r="O391" s="98" t="str">
        <f t="shared" si="37"/>
        <v/>
      </c>
      <c r="P391" s="80" t="str">
        <f t="shared" si="38"/>
        <v>FLUTTER TREASURY DAC 4 04/06/2031</v>
      </c>
      <c r="Q391" s="75">
        <v>3.6699999999999998E-8</v>
      </c>
      <c r="R391" s="175" t="str">
        <f>IF(OR('Inventaire M-1'!D144="Dispo/Liquidité Investie",'Inventaire M-1'!D144="Option/Future",'Inventaire M-1'!D144="TCN",'Inventaire M-1'!D144=""),"-",'Inventaire M-1'!A144)</f>
        <v>XS2920589699</v>
      </c>
      <c r="S391" s="175" t="str">
        <f>IF(OR('Inventaire M-1'!D144="Dispo/Liquidité Investie",'Inventaire M-1'!D144="Option/Future",'Inventaire M-1'!D144="TCN",'Inventaire M-1'!D144=""),"-",'Inventaire M-1'!B144)</f>
        <v>NIDDA HEALTHCARE HOLDING GMBH 5.625 21/02/2030</v>
      </c>
      <c r="T391" s="175"/>
      <c r="U391" s="175" t="e">
        <f>IF(R391="-","",INDEX('Inventaire M-1'!$A$2:$AG$9334,MATCH(R391,'Inventaire M-1'!$A:$A,0)-1,MATCH("Cours EUR",'Inventaire M-1'!#REF!,0)))</f>
        <v>#REF!</v>
      </c>
      <c r="V391" s="175" t="str">
        <f>IF(R391="-","",IF(ISERROR(INDEX('Inventaire M'!$A$2:$AD$9319,MATCH(R391,'Inventaire M'!$A:$A,0)-1,MATCH("Cours EUR",'Inventaire M'!#REF!,0))),"Sell",INDEX('Inventaire M'!$A$2:$AD$9319,MATCH(R391,'Inventaire M'!$A:$A,0)-1,MATCH("Cours EUR",'Inventaire M'!#REF!,0))))</f>
        <v>Sell</v>
      </c>
      <c r="W391" s="175"/>
      <c r="X391" s="156" t="e">
        <f>IF(R391="-","",INDEX('Inventaire M-1'!$A$2:$AG$9334,MATCH(R391,'Inventaire M-1'!$A:$A,0)-1,MATCH("quantite",'Inventaire M-1'!#REF!,0)))</f>
        <v>#REF!</v>
      </c>
      <c r="Y391" s="156" t="str">
        <f>IF(S391="-","",IF(ISERROR(INDEX('Inventaire M'!$A$2:$AD$9319,MATCH(R391,'Inventaire M'!$A:$A,0)-1,MATCH("quantite",'Inventaire M'!#REF!,0))),"Sell",INDEX('Inventaire M'!$A$2:$AD$9319,MATCH(R391,'Inventaire M'!$A:$A,0)-1,MATCH("quantite",'Inventaire M'!#REF!,0))))</f>
        <v>Sell</v>
      </c>
      <c r="Z391" s="175"/>
      <c r="AA391" s="155" t="e">
        <f>IF(R391="-","",INDEX('Inventaire M-1'!$A$2:$AG$9334,MATCH(R391,'Inventaire M-1'!$A:$A,0)-1,MATCH("poids",'Inventaire M-1'!#REF!,0)))</f>
        <v>#REF!</v>
      </c>
      <c r="AB391" s="155" t="str">
        <f>IF(R391="-","",IF(ISERROR(INDEX('Inventaire M'!$A$2:$AD$9319,MATCH(R391,'Inventaire M'!$A:$A,0)-1,MATCH("poids",'Inventaire M'!#REF!,0))),"Sell",INDEX('Inventaire M'!$A$2:$AD$9319,MATCH(R391,'Inventaire M'!$A:$A,0)-1,MATCH("poids",'Inventaire M'!#REF!,0))))</f>
        <v>Sell</v>
      </c>
      <c r="AC391" s="175"/>
      <c r="AD391" s="157" t="str">
        <f t="shared" si="39"/>
        <v>0</v>
      </c>
      <c r="AE391" s="98" t="str">
        <f t="shared" si="40"/>
        <v/>
      </c>
      <c r="AF391" s="80" t="str">
        <f t="shared" si="41"/>
        <v>NIDDA HEALTHCARE HOLDING GMBH 5.625 21/02/2030</v>
      </c>
    </row>
    <row r="392" spans="2:32" outlineLevel="1">
      <c r="B392" s="175" t="str">
        <f>IF(OR('Inventaire M'!D170="Dispo/Liquidité Investie",'Inventaire M'!D170="Option/Future",'Inventaire M'!D170="TCN",'Inventaire M'!D170=""),"-",'Inventaire M'!A170)</f>
        <v>XS3066681704</v>
      </c>
      <c r="C392" s="175" t="str">
        <f>IF(OR('Inventaire M'!D170="Dispo/Liquidité Investie",'Inventaire M'!D170="Option/Future",'Inventaire M'!D170="TCN",'Inventaire M'!D170=""),"-",'Inventaire M'!B170)</f>
        <v>ALBION FINANCING 1 SARL 5.375 21/05/2030</v>
      </c>
      <c r="D392" s="175"/>
      <c r="E392" s="175" t="e">
        <f>IF(B392="-","",INDEX('Inventaire M'!$A$2:$AW$9305,MATCH(B392,'Inventaire M'!$A:$A,0)-1,MATCH("Cours EUR",'Inventaire M'!#REF!,0)))</f>
        <v>#REF!</v>
      </c>
      <c r="F392" s="175" t="str">
        <f>IF(B392="-","",IF(ISERROR(INDEX('Inventaire M-1'!$A$2:$AZ$9320,MATCH(B392,'Inventaire M-1'!$A:$A,0)-1,MATCH("Cours EUR",'Inventaire M-1'!#REF!,0))),"Buy",INDEX('Inventaire M-1'!$A$2:$AZ$9320,MATCH(B392,'Inventaire M-1'!$A:$A,0)-1,MATCH("Cours EUR",'Inventaire M-1'!#REF!,0))))</f>
        <v>Buy</v>
      </c>
      <c r="G392" s="175"/>
      <c r="H392" s="156" t="e">
        <f>IF(B392="-","",INDEX('Inventaire M'!$A$2:$AW$9305,MATCH(B392,'Inventaire M'!$A:$A,0)-1,MATCH("quantite",'Inventaire M'!#REF!,0)))</f>
        <v>#REF!</v>
      </c>
      <c r="I392" s="156" t="str">
        <f>IF(C392="-","",IF(ISERROR(INDEX('Inventaire M-1'!$A$2:$AZ$9320,MATCH(B392,'Inventaire M-1'!$A:$A,0)-1,MATCH("quantite",'Inventaire M-1'!#REF!,0))),"Buy",INDEX('Inventaire M-1'!$A$2:$AZ$9320,MATCH(B392,'Inventaire M-1'!$A:$A,0)-1,MATCH("quantite",'Inventaire M-1'!#REF!,0))))</f>
        <v>Buy</v>
      </c>
      <c r="J392" s="175"/>
      <c r="K392" s="155" t="e">
        <f>IF(B392="-","",INDEX('Inventaire M'!$A$2:$AW$9305,MATCH(B392,'Inventaire M'!$A:$A,0)-1,MATCH("poids",'Inventaire M'!#REF!,0)))</f>
        <v>#REF!</v>
      </c>
      <c r="L392" s="155" t="str">
        <f>IF(B392="-","",IF(ISERROR(INDEX('Inventaire M-1'!$A$2:$AZ$9320,MATCH(B392,'Inventaire M-1'!$A:$A,0)-1,MATCH("poids",'Inventaire M-1'!#REF!,0))),"Buy",INDEX('Inventaire M-1'!$A$2:$AZ$9320,MATCH(B392,'Inventaire M-1'!$A:$A,0)-1,MATCH("poids",'Inventaire M-1'!#REF!,0))))</f>
        <v>Buy</v>
      </c>
      <c r="M392" s="175"/>
      <c r="N392" s="157" t="str">
        <f t="shared" si="36"/>
        <v>0</v>
      </c>
      <c r="O392" s="98" t="str">
        <f t="shared" si="37"/>
        <v/>
      </c>
      <c r="P392" s="80" t="str">
        <f t="shared" si="38"/>
        <v>ALBION FINANCING 1 SARL 5.375 21/05/2030</v>
      </c>
      <c r="Q392" s="75">
        <v>3.6799999999999999E-8</v>
      </c>
      <c r="R392" s="175" t="str">
        <f>IF(OR('Inventaire M-1'!D145="Dispo/Liquidité Investie",'Inventaire M-1'!D145="Option/Future",'Inventaire M-1'!D145="TCN",'Inventaire M-1'!D145=""),"-",'Inventaire M-1'!A145)</f>
        <v>XS2929941503</v>
      </c>
      <c r="S392" s="175" t="str">
        <f>IF(OR('Inventaire M-1'!D145="Dispo/Liquidité Investie",'Inventaire M-1'!D145="Option/Future",'Inventaire M-1'!D145="TCN",'Inventaire M-1'!D145=""),"-",'Inventaire M-1'!B145)</f>
        <v>CALIFORNIA BUYER LTD 5.625 15/02/2032</v>
      </c>
      <c r="T392" s="175"/>
      <c r="U392" s="175" t="e">
        <f>IF(R392="-","",INDEX('Inventaire M-1'!$A$2:$AG$9334,MATCH(R392,'Inventaire M-1'!$A:$A,0)-1,MATCH("Cours EUR",'Inventaire M-1'!#REF!,0)))</f>
        <v>#REF!</v>
      </c>
      <c r="V392" s="175" t="str">
        <f>IF(R392="-","",IF(ISERROR(INDEX('Inventaire M'!$A$2:$AD$9319,MATCH(R392,'Inventaire M'!$A:$A,0)-1,MATCH("Cours EUR",'Inventaire M'!#REF!,0))),"Sell",INDEX('Inventaire M'!$A$2:$AD$9319,MATCH(R392,'Inventaire M'!$A:$A,0)-1,MATCH("Cours EUR",'Inventaire M'!#REF!,0))))</f>
        <v>Sell</v>
      </c>
      <c r="W392" s="175"/>
      <c r="X392" s="156" t="e">
        <f>IF(R392="-","",INDEX('Inventaire M-1'!$A$2:$AG$9334,MATCH(R392,'Inventaire M-1'!$A:$A,0)-1,MATCH("quantite",'Inventaire M-1'!#REF!,0)))</f>
        <v>#REF!</v>
      </c>
      <c r="Y392" s="156" t="str">
        <f>IF(S392="-","",IF(ISERROR(INDEX('Inventaire M'!$A$2:$AD$9319,MATCH(R392,'Inventaire M'!$A:$A,0)-1,MATCH("quantite",'Inventaire M'!#REF!,0))),"Sell",INDEX('Inventaire M'!$A$2:$AD$9319,MATCH(R392,'Inventaire M'!$A:$A,0)-1,MATCH("quantite",'Inventaire M'!#REF!,0))))</f>
        <v>Sell</v>
      </c>
      <c r="Z392" s="175"/>
      <c r="AA392" s="155" t="e">
        <f>IF(R392="-","",INDEX('Inventaire M-1'!$A$2:$AG$9334,MATCH(R392,'Inventaire M-1'!$A:$A,0)-1,MATCH("poids",'Inventaire M-1'!#REF!,0)))</f>
        <v>#REF!</v>
      </c>
      <c r="AB392" s="155" t="str">
        <f>IF(R392="-","",IF(ISERROR(INDEX('Inventaire M'!$A$2:$AD$9319,MATCH(R392,'Inventaire M'!$A:$A,0)-1,MATCH("poids",'Inventaire M'!#REF!,0))),"Sell",INDEX('Inventaire M'!$A$2:$AD$9319,MATCH(R392,'Inventaire M'!$A:$A,0)-1,MATCH("poids",'Inventaire M'!#REF!,0))))</f>
        <v>Sell</v>
      </c>
      <c r="AC392" s="175"/>
      <c r="AD392" s="157" t="str">
        <f t="shared" si="39"/>
        <v>0</v>
      </c>
      <c r="AE392" s="98" t="str">
        <f t="shared" si="40"/>
        <v/>
      </c>
      <c r="AF392" s="80" t="str">
        <f t="shared" si="41"/>
        <v>CALIFORNIA BUYER LTD 5.625 15/02/2032</v>
      </c>
    </row>
    <row r="393" spans="2:32" outlineLevel="1">
      <c r="B393" s="175" t="str">
        <f>IF(OR('Inventaire M'!D171="Dispo/Liquidité Investie",'Inventaire M'!D171="Option/Future",'Inventaire M'!D171="TCN",'Inventaire M'!D171=""),"-",'Inventaire M'!A171)</f>
        <v>XS3067385420</v>
      </c>
      <c r="C393" s="175" t="str">
        <f>IF(OR('Inventaire M'!D171="Dispo/Liquidité Investie",'Inventaire M'!D171="Option/Future",'Inventaire M'!D171="TCN",'Inventaire M'!D171=""),"-",'Inventaire M'!B171)</f>
        <v>CURRENTA GROUP HOLDINGS SARL 5.5 15/05/2030</v>
      </c>
      <c r="D393" s="175"/>
      <c r="E393" s="175" t="e">
        <f>IF(B393="-","",INDEX('Inventaire M'!$A$2:$AW$9305,MATCH(B393,'Inventaire M'!$A:$A,0)-1,MATCH("Cours EUR",'Inventaire M'!#REF!,0)))</f>
        <v>#REF!</v>
      </c>
      <c r="F393" s="175" t="str">
        <f>IF(B393="-","",IF(ISERROR(INDEX('Inventaire M-1'!$A$2:$AZ$9320,MATCH(B393,'Inventaire M-1'!$A:$A,0)-1,MATCH("Cours EUR",'Inventaire M-1'!#REF!,0))),"Buy",INDEX('Inventaire M-1'!$A$2:$AZ$9320,MATCH(B393,'Inventaire M-1'!$A:$A,0)-1,MATCH("Cours EUR",'Inventaire M-1'!#REF!,0))))</f>
        <v>Buy</v>
      </c>
      <c r="G393" s="175"/>
      <c r="H393" s="156" t="e">
        <f>IF(B393="-","",INDEX('Inventaire M'!$A$2:$AW$9305,MATCH(B393,'Inventaire M'!$A:$A,0)-1,MATCH("quantite",'Inventaire M'!#REF!,0)))</f>
        <v>#REF!</v>
      </c>
      <c r="I393" s="156" t="str">
        <f>IF(C393="-","",IF(ISERROR(INDEX('Inventaire M-1'!$A$2:$AZ$9320,MATCH(B393,'Inventaire M-1'!$A:$A,0)-1,MATCH("quantite",'Inventaire M-1'!#REF!,0))),"Buy",INDEX('Inventaire M-1'!$A$2:$AZ$9320,MATCH(B393,'Inventaire M-1'!$A:$A,0)-1,MATCH("quantite",'Inventaire M-1'!#REF!,0))))</f>
        <v>Buy</v>
      </c>
      <c r="J393" s="175"/>
      <c r="K393" s="155" t="e">
        <f>IF(B393="-","",INDEX('Inventaire M'!$A$2:$AW$9305,MATCH(B393,'Inventaire M'!$A:$A,0)-1,MATCH("poids",'Inventaire M'!#REF!,0)))</f>
        <v>#REF!</v>
      </c>
      <c r="L393" s="155" t="str">
        <f>IF(B393="-","",IF(ISERROR(INDEX('Inventaire M-1'!$A$2:$AZ$9320,MATCH(B393,'Inventaire M-1'!$A:$A,0)-1,MATCH("poids",'Inventaire M-1'!#REF!,0))),"Buy",INDEX('Inventaire M-1'!$A$2:$AZ$9320,MATCH(B393,'Inventaire M-1'!$A:$A,0)-1,MATCH("poids",'Inventaire M-1'!#REF!,0))))</f>
        <v>Buy</v>
      </c>
      <c r="M393" s="175"/>
      <c r="N393" s="157" t="str">
        <f t="shared" si="36"/>
        <v>0</v>
      </c>
      <c r="O393" s="98" t="str">
        <f t="shared" si="37"/>
        <v/>
      </c>
      <c r="P393" s="80" t="str">
        <f t="shared" si="38"/>
        <v>CURRENTA GROUP HOLDINGS SARL 5.5 15/05/2030</v>
      </c>
      <c r="Q393" s="75">
        <v>3.69E-8</v>
      </c>
      <c r="R393" s="175" t="str">
        <f>IF(OR('Inventaire M-1'!D146="Dispo/Liquidité Investie",'Inventaire M-1'!D146="Option/Future",'Inventaire M-1'!D146="TCN",'Inventaire M-1'!D146=""),"-",'Inventaire M-1'!A146)</f>
        <v>XS2930112730</v>
      </c>
      <c r="S393" s="175" t="str">
        <f>IF(OR('Inventaire M-1'!D146="Dispo/Liquidité Investie",'Inventaire M-1'!D146="Option/Future",'Inventaire M-1'!D146="TCN",'Inventaire M-1'!D146=""),"-",'Inventaire M-1'!B146)</f>
        <v>OMNIA DELLA TOFFOLA SPA 05/11/2031</v>
      </c>
      <c r="T393" s="175"/>
      <c r="U393" s="175" t="e">
        <f>IF(R393="-","",INDEX('Inventaire M-1'!$A$2:$AG$9334,MATCH(R393,'Inventaire M-1'!$A:$A,0)-1,MATCH("Cours EUR",'Inventaire M-1'!#REF!,0)))</f>
        <v>#REF!</v>
      </c>
      <c r="V393" s="175" t="str">
        <f>IF(R393="-","",IF(ISERROR(INDEX('Inventaire M'!$A$2:$AD$9319,MATCH(R393,'Inventaire M'!$A:$A,0)-1,MATCH("Cours EUR",'Inventaire M'!#REF!,0))),"Sell",INDEX('Inventaire M'!$A$2:$AD$9319,MATCH(R393,'Inventaire M'!$A:$A,0)-1,MATCH("Cours EUR",'Inventaire M'!#REF!,0))))</f>
        <v>Sell</v>
      </c>
      <c r="W393" s="175"/>
      <c r="X393" s="156" t="e">
        <f>IF(R393="-","",INDEX('Inventaire M-1'!$A$2:$AG$9334,MATCH(R393,'Inventaire M-1'!$A:$A,0)-1,MATCH("quantite",'Inventaire M-1'!#REF!,0)))</f>
        <v>#REF!</v>
      </c>
      <c r="Y393" s="156" t="str">
        <f>IF(S393="-","",IF(ISERROR(INDEX('Inventaire M'!$A$2:$AD$9319,MATCH(R393,'Inventaire M'!$A:$A,0)-1,MATCH("quantite",'Inventaire M'!#REF!,0))),"Sell",INDEX('Inventaire M'!$A$2:$AD$9319,MATCH(R393,'Inventaire M'!$A:$A,0)-1,MATCH("quantite",'Inventaire M'!#REF!,0))))</f>
        <v>Sell</v>
      </c>
      <c r="Z393" s="175"/>
      <c r="AA393" s="155" t="e">
        <f>IF(R393="-","",INDEX('Inventaire M-1'!$A$2:$AG$9334,MATCH(R393,'Inventaire M-1'!$A:$A,0)-1,MATCH("poids",'Inventaire M-1'!#REF!,0)))</f>
        <v>#REF!</v>
      </c>
      <c r="AB393" s="155" t="str">
        <f>IF(R393="-","",IF(ISERROR(INDEX('Inventaire M'!$A$2:$AD$9319,MATCH(R393,'Inventaire M'!$A:$A,0)-1,MATCH("poids",'Inventaire M'!#REF!,0))),"Sell",INDEX('Inventaire M'!$A$2:$AD$9319,MATCH(R393,'Inventaire M'!$A:$A,0)-1,MATCH("poids",'Inventaire M'!#REF!,0))))</f>
        <v>Sell</v>
      </c>
      <c r="AC393" s="175"/>
      <c r="AD393" s="157" t="str">
        <f t="shared" si="39"/>
        <v>0</v>
      </c>
      <c r="AE393" s="98" t="str">
        <f t="shared" si="40"/>
        <v/>
      </c>
      <c r="AF393" s="80" t="str">
        <f t="shared" si="41"/>
        <v>OMNIA DELLA TOFFOLA SPA 05/11/2031</v>
      </c>
    </row>
    <row r="394" spans="2:32" outlineLevel="1">
      <c r="B394" s="175" t="str">
        <f>IF(OR('Inventaire M'!D172="Dispo/Liquidité Investie",'Inventaire M'!D172="Option/Future",'Inventaire M'!D172="TCN",'Inventaire M'!D172=""),"-",'Inventaire M'!A172)</f>
        <v>XS3067907140</v>
      </c>
      <c r="C394" s="175" t="str">
        <f>IF(OR('Inventaire M'!D172="Dispo/Liquidité Investie",'Inventaire M'!D172="Option/Future",'Inventaire M'!D172="TCN",'Inventaire M'!D172=""),"-",'Inventaire M'!B172)</f>
        <v>IPD 3 BV 5.5 15/06/2031</v>
      </c>
      <c r="D394" s="175"/>
      <c r="E394" s="175" t="e">
        <f>IF(B394="-","",INDEX('Inventaire M'!$A$2:$AW$9305,MATCH(B394,'Inventaire M'!$A:$A,0)-1,MATCH("Cours EUR",'Inventaire M'!#REF!,0)))</f>
        <v>#REF!</v>
      </c>
      <c r="F394" s="175" t="str">
        <f>IF(B394="-","",IF(ISERROR(INDEX('Inventaire M-1'!$A$2:$AZ$9320,MATCH(B394,'Inventaire M-1'!$A:$A,0)-1,MATCH("Cours EUR",'Inventaire M-1'!#REF!,0))),"Buy",INDEX('Inventaire M-1'!$A$2:$AZ$9320,MATCH(B394,'Inventaire M-1'!$A:$A,0)-1,MATCH("Cours EUR",'Inventaire M-1'!#REF!,0))))</f>
        <v>Buy</v>
      </c>
      <c r="G394" s="175"/>
      <c r="H394" s="156" t="e">
        <f>IF(B394="-","",INDEX('Inventaire M'!$A$2:$AW$9305,MATCH(B394,'Inventaire M'!$A:$A,0)-1,MATCH("quantite",'Inventaire M'!#REF!,0)))</f>
        <v>#REF!</v>
      </c>
      <c r="I394" s="156" t="str">
        <f>IF(C394="-","",IF(ISERROR(INDEX('Inventaire M-1'!$A$2:$AZ$9320,MATCH(B394,'Inventaire M-1'!$A:$A,0)-1,MATCH("quantite",'Inventaire M-1'!#REF!,0))),"Buy",INDEX('Inventaire M-1'!$A$2:$AZ$9320,MATCH(B394,'Inventaire M-1'!$A:$A,0)-1,MATCH("quantite",'Inventaire M-1'!#REF!,0))))</f>
        <v>Buy</v>
      </c>
      <c r="J394" s="175"/>
      <c r="K394" s="155" t="e">
        <f>IF(B394="-","",INDEX('Inventaire M'!$A$2:$AW$9305,MATCH(B394,'Inventaire M'!$A:$A,0)-1,MATCH("poids",'Inventaire M'!#REF!,0)))</f>
        <v>#REF!</v>
      </c>
      <c r="L394" s="155" t="str">
        <f>IF(B394="-","",IF(ISERROR(INDEX('Inventaire M-1'!$A$2:$AZ$9320,MATCH(B394,'Inventaire M-1'!$A:$A,0)-1,MATCH("poids",'Inventaire M-1'!#REF!,0))),"Buy",INDEX('Inventaire M-1'!$A$2:$AZ$9320,MATCH(B394,'Inventaire M-1'!$A:$A,0)-1,MATCH("poids",'Inventaire M-1'!#REF!,0))))</f>
        <v>Buy</v>
      </c>
      <c r="M394" s="175"/>
      <c r="N394" s="157" t="str">
        <f t="shared" si="36"/>
        <v>0</v>
      </c>
      <c r="O394" s="98" t="str">
        <f t="shared" si="37"/>
        <v/>
      </c>
      <c r="P394" s="80" t="str">
        <f t="shared" si="38"/>
        <v>IPD 3 BV 5.5 15/06/2031</v>
      </c>
      <c r="Q394" s="75">
        <v>3.7E-8</v>
      </c>
      <c r="R394" s="175" t="str">
        <f>IF(OR('Inventaire M-1'!D147="Dispo/Liquidité Investie",'Inventaire M-1'!D147="Option/Future",'Inventaire M-1'!D147="TCN",'Inventaire M-1'!D147=""),"-",'Inventaire M-1'!A147)</f>
        <v>XS2933536034</v>
      </c>
      <c r="S394" s="175" t="str">
        <f>IF(OR('Inventaire M-1'!D147="Dispo/Liquidité Investie",'Inventaire M-1'!D147="Option/Future",'Inventaire M-1'!D147="TCN",'Inventaire M-1'!D147=""),"-",'Inventaire M-1'!B147)</f>
        <v>NEINOR HOMES SA 5.875 15/02/2030</v>
      </c>
      <c r="T394" s="175"/>
      <c r="U394" s="175" t="e">
        <f>IF(R394="-","",INDEX('Inventaire M-1'!$A$2:$AG$9334,MATCH(R394,'Inventaire M-1'!$A:$A,0)-1,MATCH("Cours EUR",'Inventaire M-1'!#REF!,0)))</f>
        <v>#REF!</v>
      </c>
      <c r="V394" s="175" t="str">
        <f>IF(R394="-","",IF(ISERROR(INDEX('Inventaire M'!$A$2:$AD$9319,MATCH(R394,'Inventaire M'!$A:$A,0)-1,MATCH("Cours EUR",'Inventaire M'!#REF!,0))),"Sell",INDEX('Inventaire M'!$A$2:$AD$9319,MATCH(R394,'Inventaire M'!$A:$A,0)-1,MATCH("Cours EUR",'Inventaire M'!#REF!,0))))</f>
        <v>Sell</v>
      </c>
      <c r="W394" s="175"/>
      <c r="X394" s="156" t="e">
        <f>IF(R394="-","",INDEX('Inventaire M-1'!$A$2:$AG$9334,MATCH(R394,'Inventaire M-1'!$A:$A,0)-1,MATCH("quantite",'Inventaire M-1'!#REF!,0)))</f>
        <v>#REF!</v>
      </c>
      <c r="Y394" s="156" t="str">
        <f>IF(S394="-","",IF(ISERROR(INDEX('Inventaire M'!$A$2:$AD$9319,MATCH(R394,'Inventaire M'!$A:$A,0)-1,MATCH("quantite",'Inventaire M'!#REF!,0))),"Sell",INDEX('Inventaire M'!$A$2:$AD$9319,MATCH(R394,'Inventaire M'!$A:$A,0)-1,MATCH("quantite",'Inventaire M'!#REF!,0))))</f>
        <v>Sell</v>
      </c>
      <c r="Z394" s="175"/>
      <c r="AA394" s="155" t="e">
        <f>IF(R394="-","",INDEX('Inventaire M-1'!$A$2:$AG$9334,MATCH(R394,'Inventaire M-1'!$A:$A,0)-1,MATCH("poids",'Inventaire M-1'!#REF!,0)))</f>
        <v>#REF!</v>
      </c>
      <c r="AB394" s="155" t="str">
        <f>IF(R394="-","",IF(ISERROR(INDEX('Inventaire M'!$A$2:$AD$9319,MATCH(R394,'Inventaire M'!$A:$A,0)-1,MATCH("poids",'Inventaire M'!#REF!,0))),"Sell",INDEX('Inventaire M'!$A$2:$AD$9319,MATCH(R394,'Inventaire M'!$A:$A,0)-1,MATCH("poids",'Inventaire M'!#REF!,0))))</f>
        <v>Sell</v>
      </c>
      <c r="AC394" s="175"/>
      <c r="AD394" s="157" t="str">
        <f t="shared" si="39"/>
        <v>0</v>
      </c>
      <c r="AE394" s="98" t="str">
        <f t="shared" si="40"/>
        <v/>
      </c>
      <c r="AF394" s="80" t="str">
        <f t="shared" si="41"/>
        <v>NEINOR HOMES SA 5.875 15/02/2030</v>
      </c>
    </row>
    <row r="395" spans="2:32" outlineLevel="1">
      <c r="B395" s="175" t="str">
        <f>IF(OR('Inventaire M'!D173="Dispo/Liquidité Investie",'Inventaire M'!D173="Option/Future",'Inventaire M'!D173="TCN",'Inventaire M'!D173=""),"-",'Inventaire M'!A173)</f>
        <v>XS3076304602</v>
      </c>
      <c r="C395" s="175" t="str">
        <f>IF(OR('Inventaire M'!D173="Dispo/Liquidité Investie",'Inventaire M'!D173="Option/Future",'Inventaire M'!D173="TCN",'Inventaire M'!D173=""),"-",'Inventaire M'!B173)</f>
        <v>PRYSMIAN SPA PERP</v>
      </c>
      <c r="D395" s="175"/>
      <c r="E395" s="175" t="e">
        <f>IF(B395="-","",INDEX('Inventaire M'!$A$2:$AW$9305,MATCH(B395,'Inventaire M'!$A:$A,0)-1,MATCH("Cours EUR",'Inventaire M'!#REF!,0)))</f>
        <v>#REF!</v>
      </c>
      <c r="F395" s="175" t="str">
        <f>IF(B395="-","",IF(ISERROR(INDEX('Inventaire M-1'!$A$2:$AZ$9320,MATCH(B395,'Inventaire M-1'!$A:$A,0)-1,MATCH("Cours EUR",'Inventaire M-1'!#REF!,0))),"Buy",INDEX('Inventaire M-1'!$A$2:$AZ$9320,MATCH(B395,'Inventaire M-1'!$A:$A,0)-1,MATCH("Cours EUR",'Inventaire M-1'!#REF!,0))))</f>
        <v>Buy</v>
      </c>
      <c r="G395" s="175"/>
      <c r="H395" s="156" t="e">
        <f>IF(B395="-","",INDEX('Inventaire M'!$A$2:$AW$9305,MATCH(B395,'Inventaire M'!$A:$A,0)-1,MATCH("quantite",'Inventaire M'!#REF!,0)))</f>
        <v>#REF!</v>
      </c>
      <c r="I395" s="156" t="str">
        <f>IF(C395="-","",IF(ISERROR(INDEX('Inventaire M-1'!$A$2:$AZ$9320,MATCH(B395,'Inventaire M-1'!$A:$A,0)-1,MATCH("quantite",'Inventaire M-1'!#REF!,0))),"Buy",INDEX('Inventaire M-1'!$A$2:$AZ$9320,MATCH(B395,'Inventaire M-1'!$A:$A,0)-1,MATCH("quantite",'Inventaire M-1'!#REF!,0))))</f>
        <v>Buy</v>
      </c>
      <c r="J395" s="175"/>
      <c r="K395" s="155" t="e">
        <f>IF(B395="-","",INDEX('Inventaire M'!$A$2:$AW$9305,MATCH(B395,'Inventaire M'!$A:$A,0)-1,MATCH("poids",'Inventaire M'!#REF!,0)))</f>
        <v>#REF!</v>
      </c>
      <c r="L395" s="155" t="str">
        <f>IF(B395="-","",IF(ISERROR(INDEX('Inventaire M-1'!$A$2:$AZ$9320,MATCH(B395,'Inventaire M-1'!$A:$A,0)-1,MATCH("poids",'Inventaire M-1'!#REF!,0))),"Buy",INDEX('Inventaire M-1'!$A$2:$AZ$9320,MATCH(B395,'Inventaire M-1'!$A:$A,0)-1,MATCH("poids",'Inventaire M-1'!#REF!,0))))</f>
        <v>Buy</v>
      </c>
      <c r="M395" s="175"/>
      <c r="N395" s="157" t="str">
        <f t="shared" si="36"/>
        <v>0</v>
      </c>
      <c r="O395" s="98" t="str">
        <f t="shared" si="37"/>
        <v/>
      </c>
      <c r="P395" s="80" t="str">
        <f t="shared" si="38"/>
        <v>PRYSMIAN SPA PERP</v>
      </c>
      <c r="Q395" s="75">
        <v>3.7100000000000001E-8</v>
      </c>
      <c r="R395" s="175" t="str">
        <f>IF(OR('Inventaire M-1'!D148="Dispo/Liquidité Investie",'Inventaire M-1'!D148="Option/Future",'Inventaire M-1'!D148="TCN",'Inventaire M-1'!D148=""),"-",'Inventaire M-1'!A148)</f>
        <v>XS2937174196</v>
      </c>
      <c r="S395" s="175" t="str">
        <f>IF(OR('Inventaire M-1'!D148="Dispo/Liquidité Investie",'Inventaire M-1'!D148="Option/Future",'Inventaire M-1'!D148="TCN",'Inventaire M-1'!D148=""),"-",'Inventaire M-1'!B148)</f>
        <v>GETLINK SE 4.125 15/04/2030</v>
      </c>
      <c r="T395" s="175"/>
      <c r="U395" s="175" t="e">
        <f>IF(R395="-","",INDEX('Inventaire M-1'!$A$2:$AG$9334,MATCH(R395,'Inventaire M-1'!$A:$A,0)-1,MATCH("Cours EUR",'Inventaire M-1'!#REF!,0)))</f>
        <v>#REF!</v>
      </c>
      <c r="V395" s="175" t="str">
        <f>IF(R395="-","",IF(ISERROR(INDEX('Inventaire M'!$A$2:$AD$9319,MATCH(R395,'Inventaire M'!$A:$A,0)-1,MATCH("Cours EUR",'Inventaire M'!#REF!,0))),"Sell",INDEX('Inventaire M'!$A$2:$AD$9319,MATCH(R395,'Inventaire M'!$A:$A,0)-1,MATCH("Cours EUR",'Inventaire M'!#REF!,0))))</f>
        <v>Sell</v>
      </c>
      <c r="W395" s="175"/>
      <c r="X395" s="156" t="e">
        <f>IF(R395="-","",INDEX('Inventaire M-1'!$A$2:$AG$9334,MATCH(R395,'Inventaire M-1'!$A:$A,0)-1,MATCH("quantite",'Inventaire M-1'!#REF!,0)))</f>
        <v>#REF!</v>
      </c>
      <c r="Y395" s="156" t="str">
        <f>IF(S395="-","",IF(ISERROR(INDEX('Inventaire M'!$A$2:$AD$9319,MATCH(R395,'Inventaire M'!$A:$A,0)-1,MATCH("quantite",'Inventaire M'!#REF!,0))),"Sell",INDEX('Inventaire M'!$A$2:$AD$9319,MATCH(R395,'Inventaire M'!$A:$A,0)-1,MATCH("quantite",'Inventaire M'!#REF!,0))))</f>
        <v>Sell</v>
      </c>
      <c r="Z395" s="175"/>
      <c r="AA395" s="155" t="e">
        <f>IF(R395="-","",INDEX('Inventaire M-1'!$A$2:$AG$9334,MATCH(R395,'Inventaire M-1'!$A:$A,0)-1,MATCH("poids",'Inventaire M-1'!#REF!,0)))</f>
        <v>#REF!</v>
      </c>
      <c r="AB395" s="155" t="str">
        <f>IF(R395="-","",IF(ISERROR(INDEX('Inventaire M'!$A$2:$AD$9319,MATCH(R395,'Inventaire M'!$A:$A,0)-1,MATCH("poids",'Inventaire M'!#REF!,0))),"Sell",INDEX('Inventaire M'!$A$2:$AD$9319,MATCH(R395,'Inventaire M'!$A:$A,0)-1,MATCH("poids",'Inventaire M'!#REF!,0))))</f>
        <v>Sell</v>
      </c>
      <c r="AC395" s="175"/>
      <c r="AD395" s="157" t="str">
        <f t="shared" si="39"/>
        <v>0</v>
      </c>
      <c r="AE395" s="98" t="str">
        <f t="shared" si="40"/>
        <v/>
      </c>
      <c r="AF395" s="80" t="str">
        <f t="shared" si="41"/>
        <v>GETLINK SE 4.125 15/04/2030</v>
      </c>
    </row>
    <row r="396" spans="2:32" outlineLevel="1">
      <c r="B396" s="175" t="str">
        <f>IF(OR('Inventaire M'!D174="Dispo/Liquidité Investie",'Inventaire M'!D174="Option/Future",'Inventaire M'!D174="TCN",'Inventaire M'!D174=""),"-",'Inventaire M'!A174)</f>
        <v>XS3081797964</v>
      </c>
      <c r="C396" s="175" t="str">
        <f>IF(OR('Inventaire M'!D174="Dispo/Liquidité Investie",'Inventaire M'!D174="Option/Future",'Inventaire M'!D174="TCN",'Inventaire M'!D174=""),"-",'Inventaire M'!B174)</f>
        <v>TEVA PHARMACEUTICAL FINANCE NETHER 4.125 01/06/2031</v>
      </c>
      <c r="D396" s="175"/>
      <c r="E396" s="175" t="e">
        <f>IF(B396="-","",INDEX('Inventaire M'!$A$2:$AW$9305,MATCH(B396,'Inventaire M'!$A:$A,0)-1,MATCH("Cours EUR",'Inventaire M'!#REF!,0)))</f>
        <v>#REF!</v>
      </c>
      <c r="F396" s="175" t="str">
        <f>IF(B396="-","",IF(ISERROR(INDEX('Inventaire M-1'!$A$2:$AZ$9320,MATCH(B396,'Inventaire M-1'!$A:$A,0)-1,MATCH("Cours EUR",'Inventaire M-1'!#REF!,0))),"Buy",INDEX('Inventaire M-1'!$A$2:$AZ$9320,MATCH(B396,'Inventaire M-1'!$A:$A,0)-1,MATCH("Cours EUR",'Inventaire M-1'!#REF!,0))))</f>
        <v>Buy</v>
      </c>
      <c r="G396" s="175"/>
      <c r="H396" s="156" t="e">
        <f>IF(B396="-","",INDEX('Inventaire M'!$A$2:$AW$9305,MATCH(B396,'Inventaire M'!$A:$A,0)-1,MATCH("quantite",'Inventaire M'!#REF!,0)))</f>
        <v>#REF!</v>
      </c>
      <c r="I396" s="156" t="str">
        <f>IF(C396="-","",IF(ISERROR(INDEX('Inventaire M-1'!$A$2:$AZ$9320,MATCH(B396,'Inventaire M-1'!$A:$A,0)-1,MATCH("quantite",'Inventaire M-1'!#REF!,0))),"Buy",INDEX('Inventaire M-1'!$A$2:$AZ$9320,MATCH(B396,'Inventaire M-1'!$A:$A,0)-1,MATCH("quantite",'Inventaire M-1'!#REF!,0))))</f>
        <v>Buy</v>
      </c>
      <c r="J396" s="175"/>
      <c r="K396" s="155" t="e">
        <f>IF(B396="-","",INDEX('Inventaire M'!$A$2:$AW$9305,MATCH(B396,'Inventaire M'!$A:$A,0)-1,MATCH("poids",'Inventaire M'!#REF!,0)))</f>
        <v>#REF!</v>
      </c>
      <c r="L396" s="155" t="str">
        <f>IF(B396="-","",IF(ISERROR(INDEX('Inventaire M-1'!$A$2:$AZ$9320,MATCH(B396,'Inventaire M-1'!$A:$A,0)-1,MATCH("poids",'Inventaire M-1'!#REF!,0))),"Buy",INDEX('Inventaire M-1'!$A$2:$AZ$9320,MATCH(B396,'Inventaire M-1'!$A:$A,0)-1,MATCH("poids",'Inventaire M-1'!#REF!,0))))</f>
        <v>Buy</v>
      </c>
      <c r="M396" s="175"/>
      <c r="N396" s="157" t="str">
        <f t="shared" si="36"/>
        <v>0</v>
      </c>
      <c r="O396" s="98" t="str">
        <f t="shared" si="37"/>
        <v/>
      </c>
      <c r="P396" s="80" t="str">
        <f t="shared" si="38"/>
        <v>TEVA PHARMACEUTICAL FINANCE NETHER 4.125 01/06/2031</v>
      </c>
      <c r="Q396" s="75">
        <v>3.7200000000000002E-8</v>
      </c>
      <c r="R396" s="175" t="str">
        <f>IF(OR('Inventaire M-1'!D149="Dispo/Liquidité Investie",'Inventaire M-1'!D149="Option/Future",'Inventaire M-1'!D149="TCN",'Inventaire M-1'!D149=""),"-",'Inventaire M-1'!A149)</f>
        <v>XS2937255193</v>
      </c>
      <c r="S396" s="175" t="str">
        <f>IF(OR('Inventaire M-1'!D149="Dispo/Liquidité Investie",'Inventaire M-1'!D149="Option/Future",'Inventaire M-1'!D149="TCN",'Inventaire M-1'!D149=""),"-",'Inventaire M-1'!B149)</f>
        <v>ABERTIS INFRAESTRUCTURAS FINANCE B PERP</v>
      </c>
      <c r="T396" s="175"/>
      <c r="U396" s="175" t="e">
        <f>IF(R396="-","",INDEX('Inventaire M-1'!$A$2:$AG$9334,MATCH(R396,'Inventaire M-1'!$A:$A,0)-1,MATCH("Cours EUR",'Inventaire M-1'!#REF!,0)))</f>
        <v>#REF!</v>
      </c>
      <c r="V396" s="175" t="str">
        <f>IF(R396="-","",IF(ISERROR(INDEX('Inventaire M'!$A$2:$AD$9319,MATCH(R396,'Inventaire M'!$A:$A,0)-1,MATCH("Cours EUR",'Inventaire M'!#REF!,0))),"Sell",INDEX('Inventaire M'!$A$2:$AD$9319,MATCH(R396,'Inventaire M'!$A:$A,0)-1,MATCH("Cours EUR",'Inventaire M'!#REF!,0))))</f>
        <v>Sell</v>
      </c>
      <c r="W396" s="175"/>
      <c r="X396" s="156" t="e">
        <f>IF(R396="-","",INDEX('Inventaire M-1'!$A$2:$AG$9334,MATCH(R396,'Inventaire M-1'!$A:$A,0)-1,MATCH("quantite",'Inventaire M-1'!#REF!,0)))</f>
        <v>#REF!</v>
      </c>
      <c r="Y396" s="156" t="str">
        <f>IF(S396="-","",IF(ISERROR(INDEX('Inventaire M'!$A$2:$AD$9319,MATCH(R396,'Inventaire M'!$A:$A,0)-1,MATCH("quantite",'Inventaire M'!#REF!,0))),"Sell",INDEX('Inventaire M'!$A$2:$AD$9319,MATCH(R396,'Inventaire M'!$A:$A,0)-1,MATCH("quantite",'Inventaire M'!#REF!,0))))</f>
        <v>Sell</v>
      </c>
      <c r="Z396" s="175"/>
      <c r="AA396" s="155" t="e">
        <f>IF(R396="-","",INDEX('Inventaire M-1'!$A$2:$AG$9334,MATCH(R396,'Inventaire M-1'!$A:$A,0)-1,MATCH("poids",'Inventaire M-1'!#REF!,0)))</f>
        <v>#REF!</v>
      </c>
      <c r="AB396" s="155" t="str">
        <f>IF(R396="-","",IF(ISERROR(INDEX('Inventaire M'!$A$2:$AD$9319,MATCH(R396,'Inventaire M'!$A:$A,0)-1,MATCH("poids",'Inventaire M'!#REF!,0))),"Sell",INDEX('Inventaire M'!$A$2:$AD$9319,MATCH(R396,'Inventaire M'!$A:$A,0)-1,MATCH("poids",'Inventaire M'!#REF!,0))))</f>
        <v>Sell</v>
      </c>
      <c r="AC396" s="175"/>
      <c r="AD396" s="157" t="str">
        <f t="shared" si="39"/>
        <v>0</v>
      </c>
      <c r="AE396" s="98" t="str">
        <f t="shared" si="40"/>
        <v/>
      </c>
      <c r="AF396" s="80" t="str">
        <f t="shared" si="41"/>
        <v>ABERTIS INFRAESTRUCTURAS FINANCE B PERP</v>
      </c>
    </row>
    <row r="397" spans="2:32" outlineLevel="1">
      <c r="B397" s="175" t="str">
        <f>IF(OR('Inventaire M'!D175="Dispo/Liquidité Investie",'Inventaire M'!D175="Option/Future",'Inventaire M'!D175="TCN",'Inventaire M'!D175=""),"-",'Inventaire M'!A175)</f>
        <v>XS3091295801</v>
      </c>
      <c r="C397" s="175" t="str">
        <f>IF(OR('Inventaire M'!D175="Dispo/Liquidité Investie",'Inventaire M'!D175="Option/Future",'Inventaire M'!D175="TCN",'Inventaire M'!D175=""),"-",'Inventaire M'!B175)</f>
        <v>CLARIOS US FINANCE COMPANY INC 4.75 15/06/2031</v>
      </c>
      <c r="D397" s="175"/>
      <c r="E397" s="175" t="e">
        <f>IF(B397="-","",INDEX('Inventaire M'!$A$2:$AW$9305,MATCH(B397,'Inventaire M'!$A:$A,0)-1,MATCH("Cours EUR",'Inventaire M'!#REF!,0)))</f>
        <v>#REF!</v>
      </c>
      <c r="F397" s="175" t="str">
        <f>IF(B397="-","",IF(ISERROR(INDEX('Inventaire M-1'!$A$2:$AZ$9320,MATCH(B397,'Inventaire M-1'!$A:$A,0)-1,MATCH("Cours EUR",'Inventaire M-1'!#REF!,0))),"Buy",INDEX('Inventaire M-1'!$A$2:$AZ$9320,MATCH(B397,'Inventaire M-1'!$A:$A,0)-1,MATCH("Cours EUR",'Inventaire M-1'!#REF!,0))))</f>
        <v>Buy</v>
      </c>
      <c r="G397" s="175"/>
      <c r="H397" s="156" t="e">
        <f>IF(B397="-","",INDEX('Inventaire M'!$A$2:$AW$9305,MATCH(B397,'Inventaire M'!$A:$A,0)-1,MATCH("quantite",'Inventaire M'!#REF!,0)))</f>
        <v>#REF!</v>
      </c>
      <c r="I397" s="156" t="str">
        <f>IF(C397="-","",IF(ISERROR(INDEX('Inventaire M-1'!$A$2:$AZ$9320,MATCH(B397,'Inventaire M-1'!$A:$A,0)-1,MATCH("quantite",'Inventaire M-1'!#REF!,0))),"Buy",INDEX('Inventaire M-1'!$A$2:$AZ$9320,MATCH(B397,'Inventaire M-1'!$A:$A,0)-1,MATCH("quantite",'Inventaire M-1'!#REF!,0))))</f>
        <v>Buy</v>
      </c>
      <c r="J397" s="175"/>
      <c r="K397" s="155" t="e">
        <f>IF(B397="-","",INDEX('Inventaire M'!$A$2:$AW$9305,MATCH(B397,'Inventaire M'!$A:$A,0)-1,MATCH("poids",'Inventaire M'!#REF!,0)))</f>
        <v>#REF!</v>
      </c>
      <c r="L397" s="155" t="str">
        <f>IF(B397="-","",IF(ISERROR(INDEX('Inventaire M-1'!$A$2:$AZ$9320,MATCH(B397,'Inventaire M-1'!$A:$A,0)-1,MATCH("poids",'Inventaire M-1'!#REF!,0))),"Buy",INDEX('Inventaire M-1'!$A$2:$AZ$9320,MATCH(B397,'Inventaire M-1'!$A:$A,0)-1,MATCH("poids",'Inventaire M-1'!#REF!,0))))</f>
        <v>Buy</v>
      </c>
      <c r="M397" s="175"/>
      <c r="N397" s="157" t="str">
        <f t="shared" si="36"/>
        <v>0</v>
      </c>
      <c r="O397" s="98" t="str">
        <f t="shared" si="37"/>
        <v/>
      </c>
      <c r="P397" s="80" t="str">
        <f t="shared" si="38"/>
        <v>CLARIOS US FINANCE COMPANY INC 4.75 15/06/2031</v>
      </c>
      <c r="Q397" s="75">
        <v>3.7300000000000003E-8</v>
      </c>
      <c r="R397" s="175" t="str">
        <f>IF(OR('Inventaire M-1'!D150="Dispo/Liquidité Investie",'Inventaire M-1'!D150="Option/Future",'Inventaire M-1'!D150="TCN",'Inventaire M-1'!D150=""),"-",'Inventaire M-1'!A150)</f>
        <v>XS2954187378</v>
      </c>
      <c r="S397" s="175" t="str">
        <f>IF(OR('Inventaire M-1'!D150="Dispo/Liquidité Investie",'Inventaire M-1'!D150="Option/Future",'Inventaire M-1'!D150="TCN",'Inventaire M-1'!D150=""),"-",'Inventaire M-1'!B150)</f>
        <v>ASMODEE GROUP AB 5.75 15/12/2029</v>
      </c>
      <c r="T397" s="175"/>
      <c r="U397" s="175" t="e">
        <f>IF(R397="-","",INDEX('Inventaire M-1'!$A$2:$AG$9334,MATCH(R397,'Inventaire M-1'!$A:$A,0)-1,MATCH("Cours EUR",'Inventaire M-1'!#REF!,0)))</f>
        <v>#REF!</v>
      </c>
      <c r="V397" s="175" t="str">
        <f>IF(R397="-","",IF(ISERROR(INDEX('Inventaire M'!$A$2:$AD$9319,MATCH(R397,'Inventaire M'!$A:$A,0)-1,MATCH("Cours EUR",'Inventaire M'!#REF!,0))),"Sell",INDEX('Inventaire M'!$A$2:$AD$9319,MATCH(R397,'Inventaire M'!$A:$A,0)-1,MATCH("Cours EUR",'Inventaire M'!#REF!,0))))</f>
        <v>Sell</v>
      </c>
      <c r="W397" s="175"/>
      <c r="X397" s="156" t="e">
        <f>IF(R397="-","",INDEX('Inventaire M-1'!$A$2:$AG$9334,MATCH(R397,'Inventaire M-1'!$A:$A,0)-1,MATCH("quantite",'Inventaire M-1'!#REF!,0)))</f>
        <v>#REF!</v>
      </c>
      <c r="Y397" s="156" t="str">
        <f>IF(S397="-","",IF(ISERROR(INDEX('Inventaire M'!$A$2:$AD$9319,MATCH(R397,'Inventaire M'!$A:$A,0)-1,MATCH("quantite",'Inventaire M'!#REF!,0))),"Sell",INDEX('Inventaire M'!$A$2:$AD$9319,MATCH(R397,'Inventaire M'!$A:$A,0)-1,MATCH("quantite",'Inventaire M'!#REF!,0))))</f>
        <v>Sell</v>
      </c>
      <c r="Z397" s="175"/>
      <c r="AA397" s="155" t="e">
        <f>IF(R397="-","",INDEX('Inventaire M-1'!$A$2:$AG$9334,MATCH(R397,'Inventaire M-1'!$A:$A,0)-1,MATCH("poids",'Inventaire M-1'!#REF!,0)))</f>
        <v>#REF!</v>
      </c>
      <c r="AB397" s="155" t="str">
        <f>IF(R397="-","",IF(ISERROR(INDEX('Inventaire M'!$A$2:$AD$9319,MATCH(R397,'Inventaire M'!$A:$A,0)-1,MATCH("poids",'Inventaire M'!#REF!,0))),"Sell",INDEX('Inventaire M'!$A$2:$AD$9319,MATCH(R397,'Inventaire M'!$A:$A,0)-1,MATCH("poids",'Inventaire M'!#REF!,0))))</f>
        <v>Sell</v>
      </c>
      <c r="AC397" s="175"/>
      <c r="AD397" s="157" t="str">
        <f t="shared" si="39"/>
        <v>0</v>
      </c>
      <c r="AE397" s="98" t="str">
        <f t="shared" si="40"/>
        <v/>
      </c>
      <c r="AF397" s="80" t="str">
        <f t="shared" si="41"/>
        <v>ASMODEE GROUP AB 5.75 15/12/2029</v>
      </c>
    </row>
    <row r="398" spans="2:32" outlineLevel="1">
      <c r="B398" s="175" t="str">
        <f>IF(OR('Inventaire M'!D176="Dispo/Liquidité Investie",'Inventaire M'!D176="Option/Future",'Inventaire M'!D176="TCN",'Inventaire M'!D176=""),"-",'Inventaire M'!A176)</f>
        <v>XS3091660194</v>
      </c>
      <c r="C398" s="175" t="str">
        <f>IF(OR('Inventaire M'!D176="Dispo/Liquidité Investie",'Inventaire M'!D176="Option/Future",'Inventaire M'!D176="TCN",'Inventaire M'!D176=""),"-",'Inventaire M'!B176)</f>
        <v>ZF EUROPE FINANCE BV 7 12/06/2030</v>
      </c>
      <c r="D398" s="175"/>
      <c r="E398" s="175" t="e">
        <f>IF(B398="-","",INDEX('Inventaire M'!$A$2:$AW$9305,MATCH(B398,'Inventaire M'!$A:$A,0)-1,MATCH("Cours EUR",'Inventaire M'!#REF!,0)))</f>
        <v>#REF!</v>
      </c>
      <c r="F398" s="175" t="str">
        <f>IF(B398="-","",IF(ISERROR(INDEX('Inventaire M-1'!$A$2:$AZ$9320,MATCH(B398,'Inventaire M-1'!$A:$A,0)-1,MATCH("Cours EUR",'Inventaire M-1'!#REF!,0))),"Buy",INDEX('Inventaire M-1'!$A$2:$AZ$9320,MATCH(B398,'Inventaire M-1'!$A:$A,0)-1,MATCH("Cours EUR",'Inventaire M-1'!#REF!,0))))</f>
        <v>Buy</v>
      </c>
      <c r="G398" s="175"/>
      <c r="H398" s="156" t="e">
        <f>IF(B398="-","",INDEX('Inventaire M'!$A$2:$AW$9305,MATCH(B398,'Inventaire M'!$A:$A,0)-1,MATCH("quantite",'Inventaire M'!#REF!,0)))</f>
        <v>#REF!</v>
      </c>
      <c r="I398" s="156" t="str">
        <f>IF(C398="-","",IF(ISERROR(INDEX('Inventaire M-1'!$A$2:$AZ$9320,MATCH(B398,'Inventaire M-1'!$A:$A,0)-1,MATCH("quantite",'Inventaire M-1'!#REF!,0))),"Buy",INDEX('Inventaire M-1'!$A$2:$AZ$9320,MATCH(B398,'Inventaire M-1'!$A:$A,0)-1,MATCH("quantite",'Inventaire M-1'!#REF!,0))))</f>
        <v>Buy</v>
      </c>
      <c r="J398" s="175"/>
      <c r="K398" s="155" t="e">
        <f>IF(B398="-","",INDEX('Inventaire M'!$A$2:$AW$9305,MATCH(B398,'Inventaire M'!$A:$A,0)-1,MATCH("poids",'Inventaire M'!#REF!,0)))</f>
        <v>#REF!</v>
      </c>
      <c r="L398" s="155" t="str">
        <f>IF(B398="-","",IF(ISERROR(INDEX('Inventaire M-1'!$A$2:$AZ$9320,MATCH(B398,'Inventaire M-1'!$A:$A,0)-1,MATCH("poids",'Inventaire M-1'!#REF!,0))),"Buy",INDEX('Inventaire M-1'!$A$2:$AZ$9320,MATCH(B398,'Inventaire M-1'!$A:$A,0)-1,MATCH("poids",'Inventaire M-1'!#REF!,0))))</f>
        <v>Buy</v>
      </c>
      <c r="M398" s="175"/>
      <c r="N398" s="157" t="str">
        <f t="shared" si="36"/>
        <v>0</v>
      </c>
      <c r="O398" s="98" t="str">
        <f t="shared" si="37"/>
        <v/>
      </c>
      <c r="P398" s="80" t="str">
        <f t="shared" si="38"/>
        <v>ZF EUROPE FINANCE BV 7 12/06/2030</v>
      </c>
      <c r="Q398" s="75">
        <v>3.7399999999999997E-8</v>
      </c>
      <c r="R398" s="175" t="str">
        <f>IF(OR('Inventaire M-1'!D151="Dispo/Liquidité Investie",'Inventaire M-1'!D151="Option/Future",'Inventaire M-1'!D151="TCN",'Inventaire M-1'!D151=""),"-",'Inventaire M-1'!A151)</f>
        <v>XS2961445090</v>
      </c>
      <c r="S398" s="175" t="str">
        <f>IF(OR('Inventaire M-1'!D151="Dispo/Liquidité Investie",'Inventaire M-1'!D151="Option/Future",'Inventaire M-1'!D151="TCN",'Inventaire M-1'!D151=""),"-",'Inventaire M-1'!B151)</f>
        <v>GRIFOLS SA 7.125 01/05/2030</v>
      </c>
      <c r="T398" s="175"/>
      <c r="U398" s="175" t="e">
        <f>IF(R398="-","",INDEX('Inventaire M-1'!$A$2:$AG$9334,MATCH(R398,'Inventaire M-1'!$A:$A,0)-1,MATCH("Cours EUR",'Inventaire M-1'!#REF!,0)))</f>
        <v>#REF!</v>
      </c>
      <c r="V398" s="175" t="str">
        <f>IF(R398="-","",IF(ISERROR(INDEX('Inventaire M'!$A$2:$AD$9319,MATCH(R398,'Inventaire M'!$A:$A,0)-1,MATCH("Cours EUR",'Inventaire M'!#REF!,0))),"Sell",INDEX('Inventaire M'!$A$2:$AD$9319,MATCH(R398,'Inventaire M'!$A:$A,0)-1,MATCH("Cours EUR",'Inventaire M'!#REF!,0))))</f>
        <v>Sell</v>
      </c>
      <c r="W398" s="175"/>
      <c r="X398" s="156" t="e">
        <f>IF(R398="-","",INDEX('Inventaire M-1'!$A$2:$AG$9334,MATCH(R398,'Inventaire M-1'!$A:$A,0)-1,MATCH("quantite",'Inventaire M-1'!#REF!,0)))</f>
        <v>#REF!</v>
      </c>
      <c r="Y398" s="156" t="str">
        <f>IF(S398="-","",IF(ISERROR(INDEX('Inventaire M'!$A$2:$AD$9319,MATCH(R398,'Inventaire M'!$A:$A,0)-1,MATCH("quantite",'Inventaire M'!#REF!,0))),"Sell",INDEX('Inventaire M'!$A$2:$AD$9319,MATCH(R398,'Inventaire M'!$A:$A,0)-1,MATCH("quantite",'Inventaire M'!#REF!,0))))</f>
        <v>Sell</v>
      </c>
      <c r="Z398" s="175"/>
      <c r="AA398" s="155" t="e">
        <f>IF(R398="-","",INDEX('Inventaire M-1'!$A$2:$AG$9334,MATCH(R398,'Inventaire M-1'!$A:$A,0)-1,MATCH("poids",'Inventaire M-1'!#REF!,0)))</f>
        <v>#REF!</v>
      </c>
      <c r="AB398" s="155" t="str">
        <f>IF(R398="-","",IF(ISERROR(INDEX('Inventaire M'!$A$2:$AD$9319,MATCH(R398,'Inventaire M'!$A:$A,0)-1,MATCH("poids",'Inventaire M'!#REF!,0))),"Sell",INDEX('Inventaire M'!$A$2:$AD$9319,MATCH(R398,'Inventaire M'!$A:$A,0)-1,MATCH("poids",'Inventaire M'!#REF!,0))))</f>
        <v>Sell</v>
      </c>
      <c r="AC398" s="175"/>
      <c r="AD398" s="157" t="str">
        <f t="shared" si="39"/>
        <v>0</v>
      </c>
      <c r="AE398" s="98" t="str">
        <f t="shared" si="40"/>
        <v/>
      </c>
      <c r="AF398" s="80" t="str">
        <f t="shared" si="41"/>
        <v>GRIFOLS SA 7.125 01/05/2030</v>
      </c>
    </row>
    <row r="399" spans="2:32" outlineLevel="1">
      <c r="B399" s="175" t="str">
        <f>IF(OR('Inventaire M'!D177="Dispo/Liquidité Investie",'Inventaire M'!D177="Option/Future",'Inventaire M'!D177="TCN",'Inventaire M'!D177=""),"-",'Inventaire M'!A177)</f>
        <v>XS3091931058</v>
      </c>
      <c r="C399" s="175" t="str">
        <f>IF(OR('Inventaire M'!D177="Dispo/Liquidité Investie",'Inventaire M'!D177="Option/Future",'Inventaire M'!D177="TCN",'Inventaire M'!D177=""),"-",'Inventaire M'!B177)</f>
        <v>EDREAMS ODIGEO SA 4.875 30/12/2030</v>
      </c>
      <c r="D399" s="175"/>
      <c r="E399" s="175" t="e">
        <f>IF(B399="-","",INDEX('Inventaire M'!$A$2:$AW$9305,MATCH(B399,'Inventaire M'!$A:$A,0)-1,MATCH("Cours EUR",'Inventaire M'!#REF!,0)))</f>
        <v>#REF!</v>
      </c>
      <c r="F399" s="175" t="str">
        <f>IF(B399="-","",IF(ISERROR(INDEX('Inventaire M-1'!$A$2:$AZ$9320,MATCH(B399,'Inventaire M-1'!$A:$A,0)-1,MATCH("Cours EUR",'Inventaire M-1'!#REF!,0))),"Buy",INDEX('Inventaire M-1'!$A$2:$AZ$9320,MATCH(B399,'Inventaire M-1'!$A:$A,0)-1,MATCH("Cours EUR",'Inventaire M-1'!#REF!,0))))</f>
        <v>Buy</v>
      </c>
      <c r="G399" s="175"/>
      <c r="H399" s="156" t="e">
        <f>IF(B399="-","",INDEX('Inventaire M'!$A$2:$AW$9305,MATCH(B399,'Inventaire M'!$A:$A,0)-1,MATCH("quantite",'Inventaire M'!#REF!,0)))</f>
        <v>#REF!</v>
      </c>
      <c r="I399" s="156" t="str">
        <f>IF(C399="-","",IF(ISERROR(INDEX('Inventaire M-1'!$A$2:$AZ$9320,MATCH(B399,'Inventaire M-1'!$A:$A,0)-1,MATCH("quantite",'Inventaire M-1'!#REF!,0))),"Buy",INDEX('Inventaire M-1'!$A$2:$AZ$9320,MATCH(B399,'Inventaire M-1'!$A:$A,0)-1,MATCH("quantite",'Inventaire M-1'!#REF!,0))))</f>
        <v>Buy</v>
      </c>
      <c r="J399" s="175"/>
      <c r="K399" s="155" t="e">
        <f>IF(B399="-","",INDEX('Inventaire M'!$A$2:$AW$9305,MATCH(B399,'Inventaire M'!$A:$A,0)-1,MATCH("poids",'Inventaire M'!#REF!,0)))</f>
        <v>#REF!</v>
      </c>
      <c r="L399" s="155" t="str">
        <f>IF(B399="-","",IF(ISERROR(INDEX('Inventaire M-1'!$A$2:$AZ$9320,MATCH(B399,'Inventaire M-1'!$A:$A,0)-1,MATCH("poids",'Inventaire M-1'!#REF!,0))),"Buy",INDEX('Inventaire M-1'!$A$2:$AZ$9320,MATCH(B399,'Inventaire M-1'!$A:$A,0)-1,MATCH("poids",'Inventaire M-1'!#REF!,0))))</f>
        <v>Buy</v>
      </c>
      <c r="M399" s="175"/>
      <c r="N399" s="157" t="str">
        <f t="shared" si="36"/>
        <v>0</v>
      </c>
      <c r="O399" s="98" t="str">
        <f t="shared" si="37"/>
        <v/>
      </c>
      <c r="P399" s="80" t="str">
        <f t="shared" si="38"/>
        <v>EDREAMS ODIGEO SA 4.875 30/12/2030</v>
      </c>
      <c r="Q399" s="75">
        <v>3.7499999999999998E-8</v>
      </c>
      <c r="R399" s="175" t="str">
        <f>IF(OR('Inventaire M-1'!D152="Dispo/Liquidité Investie",'Inventaire M-1'!D152="Option/Future",'Inventaire M-1'!D152="TCN",'Inventaire M-1'!D152=""),"-",'Inventaire M-1'!A152)</f>
        <v>XS2962827072</v>
      </c>
      <c r="S399" s="175" t="str">
        <f>IF(OR('Inventaire M-1'!D152="Dispo/Liquidité Investie",'Inventaire M-1'!D152="Option/Future",'Inventaire M-1'!D152="TCN",'Inventaire M-1'!D152=""),"-",'Inventaire M-1'!B152)</f>
        <v>SAMHALLSBYGGNADSBOLAGET I NORDEN H 1.125 26/09/2029</v>
      </c>
      <c r="T399" s="175"/>
      <c r="U399" s="175" t="e">
        <f>IF(R399="-","",INDEX('Inventaire M-1'!$A$2:$AG$9334,MATCH(R399,'Inventaire M-1'!$A:$A,0)-1,MATCH("Cours EUR",'Inventaire M-1'!#REF!,0)))</f>
        <v>#REF!</v>
      </c>
      <c r="V399" s="175" t="str">
        <f>IF(R399="-","",IF(ISERROR(INDEX('Inventaire M'!$A$2:$AD$9319,MATCH(R399,'Inventaire M'!$A:$A,0)-1,MATCH("Cours EUR",'Inventaire M'!#REF!,0))),"Sell",INDEX('Inventaire M'!$A$2:$AD$9319,MATCH(R399,'Inventaire M'!$A:$A,0)-1,MATCH("Cours EUR",'Inventaire M'!#REF!,0))))</f>
        <v>Sell</v>
      </c>
      <c r="W399" s="175"/>
      <c r="X399" s="156" t="e">
        <f>IF(R399="-","",INDEX('Inventaire M-1'!$A$2:$AG$9334,MATCH(R399,'Inventaire M-1'!$A:$A,0)-1,MATCH("quantite",'Inventaire M-1'!#REF!,0)))</f>
        <v>#REF!</v>
      </c>
      <c r="Y399" s="156" t="str">
        <f>IF(S399="-","",IF(ISERROR(INDEX('Inventaire M'!$A$2:$AD$9319,MATCH(R399,'Inventaire M'!$A:$A,0)-1,MATCH("quantite",'Inventaire M'!#REF!,0))),"Sell",INDEX('Inventaire M'!$A$2:$AD$9319,MATCH(R399,'Inventaire M'!$A:$A,0)-1,MATCH("quantite",'Inventaire M'!#REF!,0))))</f>
        <v>Sell</v>
      </c>
      <c r="Z399" s="175"/>
      <c r="AA399" s="155" t="e">
        <f>IF(R399="-","",INDEX('Inventaire M-1'!$A$2:$AG$9334,MATCH(R399,'Inventaire M-1'!$A:$A,0)-1,MATCH("poids",'Inventaire M-1'!#REF!,0)))</f>
        <v>#REF!</v>
      </c>
      <c r="AB399" s="155" t="str">
        <f>IF(R399="-","",IF(ISERROR(INDEX('Inventaire M'!$A$2:$AD$9319,MATCH(R399,'Inventaire M'!$A:$A,0)-1,MATCH("poids",'Inventaire M'!#REF!,0))),"Sell",INDEX('Inventaire M'!$A$2:$AD$9319,MATCH(R399,'Inventaire M'!$A:$A,0)-1,MATCH("poids",'Inventaire M'!#REF!,0))))</f>
        <v>Sell</v>
      </c>
      <c r="AC399" s="175"/>
      <c r="AD399" s="157" t="str">
        <f t="shared" si="39"/>
        <v>0</v>
      </c>
      <c r="AE399" s="98" t="str">
        <f t="shared" si="40"/>
        <v/>
      </c>
      <c r="AF399" s="80" t="str">
        <f t="shared" si="41"/>
        <v>SAMHALLSBYGGNADSBOLAGET I NORDEN H 1.125 26/09/2029</v>
      </c>
    </row>
    <row r="400" spans="2:32" outlineLevel="1">
      <c r="B400" s="175" t="str">
        <f>IF(OR('Inventaire M'!D178="Dispo/Liquidité Investie",'Inventaire M'!D178="Option/Future",'Inventaire M'!D178="TCN",'Inventaire M'!D178=""),"-",'Inventaire M'!A178)</f>
        <v>XS3100773996</v>
      </c>
      <c r="C400" s="175" t="str">
        <f>IF(OR('Inventaire M'!D178="Dispo/Liquidité Investie",'Inventaire M'!D178="Option/Future",'Inventaire M'!D178="TCN",'Inventaire M'!D178=""),"-",'Inventaire M'!B178)</f>
        <v>SES SA 4.875 24/06/2033</v>
      </c>
      <c r="D400" s="175"/>
      <c r="E400" s="175" t="e">
        <f>IF(B400="-","",INDEX('Inventaire M'!$A$2:$AW$9305,MATCH(B400,'Inventaire M'!$A:$A,0)-1,MATCH("Cours EUR",'Inventaire M'!#REF!,0)))</f>
        <v>#REF!</v>
      </c>
      <c r="F400" s="175" t="str">
        <f>IF(B400="-","",IF(ISERROR(INDEX('Inventaire M-1'!$A$2:$AZ$9320,MATCH(B400,'Inventaire M-1'!$A:$A,0)-1,MATCH("Cours EUR",'Inventaire M-1'!#REF!,0))),"Buy",INDEX('Inventaire M-1'!$A$2:$AZ$9320,MATCH(B400,'Inventaire M-1'!$A:$A,0)-1,MATCH("Cours EUR",'Inventaire M-1'!#REF!,0))))</f>
        <v>Buy</v>
      </c>
      <c r="G400" s="175"/>
      <c r="H400" s="156" t="e">
        <f>IF(B400="-","",INDEX('Inventaire M'!$A$2:$AW$9305,MATCH(B400,'Inventaire M'!$A:$A,0)-1,MATCH("quantite",'Inventaire M'!#REF!,0)))</f>
        <v>#REF!</v>
      </c>
      <c r="I400" s="156" t="str">
        <f>IF(C400="-","",IF(ISERROR(INDEX('Inventaire M-1'!$A$2:$AZ$9320,MATCH(B400,'Inventaire M-1'!$A:$A,0)-1,MATCH("quantite",'Inventaire M-1'!#REF!,0))),"Buy",INDEX('Inventaire M-1'!$A$2:$AZ$9320,MATCH(B400,'Inventaire M-1'!$A:$A,0)-1,MATCH("quantite",'Inventaire M-1'!#REF!,0))))</f>
        <v>Buy</v>
      </c>
      <c r="J400" s="175"/>
      <c r="K400" s="155" t="e">
        <f>IF(B400="-","",INDEX('Inventaire M'!$A$2:$AW$9305,MATCH(B400,'Inventaire M'!$A:$A,0)-1,MATCH("poids",'Inventaire M'!#REF!,0)))</f>
        <v>#REF!</v>
      </c>
      <c r="L400" s="155" t="str">
        <f>IF(B400="-","",IF(ISERROR(INDEX('Inventaire M-1'!$A$2:$AZ$9320,MATCH(B400,'Inventaire M-1'!$A:$A,0)-1,MATCH("poids",'Inventaire M-1'!#REF!,0))),"Buy",INDEX('Inventaire M-1'!$A$2:$AZ$9320,MATCH(B400,'Inventaire M-1'!$A:$A,0)-1,MATCH("poids",'Inventaire M-1'!#REF!,0))))</f>
        <v>Buy</v>
      </c>
      <c r="M400" s="175"/>
      <c r="N400" s="157" t="str">
        <f t="shared" si="36"/>
        <v>0</v>
      </c>
      <c r="O400" s="98" t="str">
        <f t="shared" si="37"/>
        <v/>
      </c>
      <c r="P400" s="80" t="str">
        <f t="shared" si="38"/>
        <v>SES SA 4.875 24/06/2033</v>
      </c>
      <c r="Q400" s="75">
        <v>3.7599999999999999E-8</v>
      </c>
      <c r="R400" s="175" t="str">
        <f>IF(OR('Inventaire M-1'!D153="Dispo/Liquidité Investie",'Inventaire M-1'!D153="Option/Future",'Inventaire M-1'!D153="TCN",'Inventaire M-1'!D153=""),"-",'Inventaire M-1'!A153)</f>
        <v>XS2965681633</v>
      </c>
      <c r="S400" s="175" t="str">
        <f>IF(OR('Inventaire M-1'!D153="Dispo/Liquidité Investie",'Inventaire M-1'!D153="Option/Future",'Inventaire M-1'!D153="TCN",'Inventaire M-1'!D153=""),"-",'Inventaire M-1'!B153)</f>
        <v>DEUTSCHE LUFTHANSA AG 15/01/2055</v>
      </c>
      <c r="T400" s="175"/>
      <c r="U400" s="175" t="e">
        <f>IF(R400="-","",INDEX('Inventaire M-1'!$A$2:$AG$9334,MATCH(R400,'Inventaire M-1'!$A:$A,0)-1,MATCH("Cours EUR",'Inventaire M-1'!#REF!,0)))</f>
        <v>#REF!</v>
      </c>
      <c r="V400" s="175" t="str">
        <f>IF(R400="-","",IF(ISERROR(INDEX('Inventaire M'!$A$2:$AD$9319,MATCH(R400,'Inventaire M'!$A:$A,0)-1,MATCH("Cours EUR",'Inventaire M'!#REF!,0))),"Sell",INDEX('Inventaire M'!$A$2:$AD$9319,MATCH(R400,'Inventaire M'!$A:$A,0)-1,MATCH("Cours EUR",'Inventaire M'!#REF!,0))))</f>
        <v>Sell</v>
      </c>
      <c r="W400" s="175"/>
      <c r="X400" s="156" t="e">
        <f>IF(R400="-","",INDEX('Inventaire M-1'!$A$2:$AG$9334,MATCH(R400,'Inventaire M-1'!$A:$A,0)-1,MATCH("quantite",'Inventaire M-1'!#REF!,0)))</f>
        <v>#REF!</v>
      </c>
      <c r="Y400" s="156" t="str">
        <f>IF(S400="-","",IF(ISERROR(INDEX('Inventaire M'!$A$2:$AD$9319,MATCH(R400,'Inventaire M'!$A:$A,0)-1,MATCH("quantite",'Inventaire M'!#REF!,0))),"Sell",INDEX('Inventaire M'!$A$2:$AD$9319,MATCH(R400,'Inventaire M'!$A:$A,0)-1,MATCH("quantite",'Inventaire M'!#REF!,0))))</f>
        <v>Sell</v>
      </c>
      <c r="Z400" s="175"/>
      <c r="AA400" s="155" t="e">
        <f>IF(R400="-","",INDEX('Inventaire M-1'!$A$2:$AG$9334,MATCH(R400,'Inventaire M-1'!$A:$A,0)-1,MATCH("poids",'Inventaire M-1'!#REF!,0)))</f>
        <v>#REF!</v>
      </c>
      <c r="AB400" s="155" t="str">
        <f>IF(R400="-","",IF(ISERROR(INDEX('Inventaire M'!$A$2:$AD$9319,MATCH(R400,'Inventaire M'!$A:$A,0)-1,MATCH("poids",'Inventaire M'!#REF!,0))),"Sell",INDEX('Inventaire M'!$A$2:$AD$9319,MATCH(R400,'Inventaire M'!$A:$A,0)-1,MATCH("poids",'Inventaire M'!#REF!,0))))</f>
        <v>Sell</v>
      </c>
      <c r="AC400" s="175"/>
      <c r="AD400" s="157" t="str">
        <f t="shared" si="39"/>
        <v>0</v>
      </c>
      <c r="AE400" s="98" t="str">
        <f t="shared" si="40"/>
        <v/>
      </c>
      <c r="AF400" s="80" t="str">
        <f t="shared" si="41"/>
        <v>DEUTSCHE LUFTHANSA AG 15/01/2055</v>
      </c>
    </row>
    <row r="401" spans="2:32" outlineLevel="1">
      <c r="B401" s="175" t="str">
        <f>IF(OR('Inventaire M'!D179="Dispo/Liquidité Investie",'Inventaire M'!D179="Option/Future",'Inventaire M'!D179="TCN",'Inventaire M'!D179=""),"-",'Inventaire M'!A179)</f>
        <v>XS3100795452</v>
      </c>
      <c r="C401" s="175" t="str">
        <f>IF(OR('Inventaire M'!D179="Dispo/Liquidité Investie",'Inventaire M'!D179="Option/Future",'Inventaire M'!D179="TCN",'Inventaire M'!D179=""),"-",'Inventaire M'!B179)</f>
        <v>LUNA 25 SARL 5.5 01/07/2032</v>
      </c>
      <c r="D401" s="175"/>
      <c r="E401" s="175" t="e">
        <f>IF(B401="-","",INDEX('Inventaire M'!$A$2:$AW$9305,MATCH(B401,'Inventaire M'!$A:$A,0)-1,MATCH("Cours EUR",'Inventaire M'!#REF!,0)))</f>
        <v>#REF!</v>
      </c>
      <c r="F401" s="175" t="str">
        <f>IF(B401="-","",IF(ISERROR(INDEX('Inventaire M-1'!$A$2:$AZ$9320,MATCH(B401,'Inventaire M-1'!$A:$A,0)-1,MATCH("Cours EUR",'Inventaire M-1'!#REF!,0))),"Buy",INDEX('Inventaire M-1'!$A$2:$AZ$9320,MATCH(B401,'Inventaire M-1'!$A:$A,0)-1,MATCH("Cours EUR",'Inventaire M-1'!#REF!,0))))</f>
        <v>Buy</v>
      </c>
      <c r="G401" s="175"/>
      <c r="H401" s="156" t="e">
        <f>IF(B401="-","",INDEX('Inventaire M'!$A$2:$AW$9305,MATCH(B401,'Inventaire M'!$A:$A,0)-1,MATCH("quantite",'Inventaire M'!#REF!,0)))</f>
        <v>#REF!</v>
      </c>
      <c r="I401" s="156" t="str">
        <f>IF(C401="-","",IF(ISERROR(INDEX('Inventaire M-1'!$A$2:$AZ$9320,MATCH(B401,'Inventaire M-1'!$A:$A,0)-1,MATCH("quantite",'Inventaire M-1'!#REF!,0))),"Buy",INDEX('Inventaire M-1'!$A$2:$AZ$9320,MATCH(B401,'Inventaire M-1'!$A:$A,0)-1,MATCH("quantite",'Inventaire M-1'!#REF!,0))))</f>
        <v>Buy</v>
      </c>
      <c r="J401" s="175"/>
      <c r="K401" s="155" t="e">
        <f>IF(B401="-","",INDEX('Inventaire M'!$A$2:$AW$9305,MATCH(B401,'Inventaire M'!$A:$A,0)-1,MATCH("poids",'Inventaire M'!#REF!,0)))</f>
        <v>#REF!</v>
      </c>
      <c r="L401" s="155" t="str">
        <f>IF(B401="-","",IF(ISERROR(INDEX('Inventaire M-1'!$A$2:$AZ$9320,MATCH(B401,'Inventaire M-1'!$A:$A,0)-1,MATCH("poids",'Inventaire M-1'!#REF!,0))),"Buy",INDEX('Inventaire M-1'!$A$2:$AZ$9320,MATCH(B401,'Inventaire M-1'!$A:$A,0)-1,MATCH("poids",'Inventaire M-1'!#REF!,0))))</f>
        <v>Buy</v>
      </c>
      <c r="M401" s="175"/>
      <c r="N401" s="157" t="str">
        <f t="shared" si="36"/>
        <v>0</v>
      </c>
      <c r="O401" s="98" t="str">
        <f t="shared" si="37"/>
        <v/>
      </c>
      <c r="P401" s="80" t="str">
        <f t="shared" si="38"/>
        <v>LUNA 25 SARL 5.5 01/07/2032</v>
      </c>
      <c r="Q401" s="75">
        <v>3.77E-8</v>
      </c>
      <c r="R401" s="175" t="str">
        <f>IF(OR('Inventaire M-1'!D154="Dispo/Liquidité Investie",'Inventaire M-1'!D154="Option/Future",'Inventaire M-1'!D154="TCN",'Inventaire M-1'!D154=""),"-",'Inventaire M-1'!A154)</f>
        <v>XS2971567560</v>
      </c>
      <c r="S401" s="175" t="str">
        <f>IF(OR('Inventaire M-1'!D154="Dispo/Liquidité Investie",'Inventaire M-1'!D154="Option/Future",'Inventaire M-1'!D154="TCN",'Inventaire M-1'!D154=""),"-",'Inventaire M-1'!B154)</f>
        <v>KAPLA HOLDING SAS 5 30/04/2031</v>
      </c>
      <c r="T401" s="175"/>
      <c r="U401" s="175" t="e">
        <f>IF(R401="-","",INDEX('Inventaire M-1'!$A$2:$AG$9334,MATCH(R401,'Inventaire M-1'!$A:$A,0)-1,MATCH("Cours EUR",'Inventaire M-1'!#REF!,0)))</f>
        <v>#REF!</v>
      </c>
      <c r="V401" s="175" t="str">
        <f>IF(R401="-","",IF(ISERROR(INDEX('Inventaire M'!$A$2:$AD$9319,MATCH(R401,'Inventaire M'!$A:$A,0)-1,MATCH("Cours EUR",'Inventaire M'!#REF!,0))),"Sell",INDEX('Inventaire M'!$A$2:$AD$9319,MATCH(R401,'Inventaire M'!$A:$A,0)-1,MATCH("Cours EUR",'Inventaire M'!#REF!,0))))</f>
        <v>Sell</v>
      </c>
      <c r="W401" s="175"/>
      <c r="X401" s="156" t="e">
        <f>IF(R401="-","",INDEX('Inventaire M-1'!$A$2:$AG$9334,MATCH(R401,'Inventaire M-1'!$A:$A,0)-1,MATCH("quantite",'Inventaire M-1'!#REF!,0)))</f>
        <v>#REF!</v>
      </c>
      <c r="Y401" s="156" t="str">
        <f>IF(S401="-","",IF(ISERROR(INDEX('Inventaire M'!$A$2:$AD$9319,MATCH(R401,'Inventaire M'!$A:$A,0)-1,MATCH("quantite",'Inventaire M'!#REF!,0))),"Sell",INDEX('Inventaire M'!$A$2:$AD$9319,MATCH(R401,'Inventaire M'!$A:$A,0)-1,MATCH("quantite",'Inventaire M'!#REF!,0))))</f>
        <v>Sell</v>
      </c>
      <c r="Z401" s="175"/>
      <c r="AA401" s="155" t="e">
        <f>IF(R401="-","",INDEX('Inventaire M-1'!$A$2:$AG$9334,MATCH(R401,'Inventaire M-1'!$A:$A,0)-1,MATCH("poids",'Inventaire M-1'!#REF!,0)))</f>
        <v>#REF!</v>
      </c>
      <c r="AB401" s="155" t="str">
        <f>IF(R401="-","",IF(ISERROR(INDEX('Inventaire M'!$A$2:$AD$9319,MATCH(R401,'Inventaire M'!$A:$A,0)-1,MATCH("poids",'Inventaire M'!#REF!,0))),"Sell",INDEX('Inventaire M'!$A$2:$AD$9319,MATCH(R401,'Inventaire M'!$A:$A,0)-1,MATCH("poids",'Inventaire M'!#REF!,0))))</f>
        <v>Sell</v>
      </c>
      <c r="AC401" s="175"/>
      <c r="AD401" s="157" t="str">
        <f t="shared" si="39"/>
        <v>0</v>
      </c>
      <c r="AE401" s="98" t="str">
        <f t="shared" si="40"/>
        <v/>
      </c>
      <c r="AF401" s="80" t="str">
        <f t="shared" si="41"/>
        <v>KAPLA HOLDING SAS 5 30/04/2031</v>
      </c>
    </row>
    <row r="402" spans="2:32" outlineLevel="1">
      <c r="B402" s="175" t="str">
        <f>IF(OR('Inventaire M'!D180="Dispo/Liquidité Investie",'Inventaire M'!D180="Option/Future",'Inventaire M'!D180="TCN",'Inventaire M'!D180=""),"-",'Inventaire M'!A180)</f>
        <v>XS3101363011</v>
      </c>
      <c r="C402" s="175" t="str">
        <f>IF(OR('Inventaire M'!D180="Dispo/Liquidité Investie",'Inventaire M'!D180="Option/Future",'Inventaire M'!D180="TCN",'Inventaire M'!D180=""),"-",'Inventaire M'!B180)</f>
        <v>TEAMSYSTEM SPA 5 01/07/2031</v>
      </c>
      <c r="D402" s="175"/>
      <c r="E402" s="175" t="e">
        <f>IF(B402="-","",INDEX('Inventaire M'!$A$2:$AW$9305,MATCH(B402,'Inventaire M'!$A:$A,0)-1,MATCH("Cours EUR",'Inventaire M'!#REF!,0)))</f>
        <v>#REF!</v>
      </c>
      <c r="F402" s="175" t="str">
        <f>IF(B402="-","",IF(ISERROR(INDEX('Inventaire M-1'!$A$2:$AZ$9320,MATCH(B402,'Inventaire M-1'!$A:$A,0)-1,MATCH("Cours EUR",'Inventaire M-1'!#REF!,0))),"Buy",INDEX('Inventaire M-1'!$A$2:$AZ$9320,MATCH(B402,'Inventaire M-1'!$A:$A,0)-1,MATCH("Cours EUR",'Inventaire M-1'!#REF!,0))))</f>
        <v>Buy</v>
      </c>
      <c r="G402" s="175"/>
      <c r="H402" s="156" t="e">
        <f>IF(B402="-","",INDEX('Inventaire M'!$A$2:$AW$9305,MATCH(B402,'Inventaire M'!$A:$A,0)-1,MATCH("quantite",'Inventaire M'!#REF!,0)))</f>
        <v>#REF!</v>
      </c>
      <c r="I402" s="156" t="str">
        <f>IF(C402="-","",IF(ISERROR(INDEX('Inventaire M-1'!$A$2:$AZ$9320,MATCH(B402,'Inventaire M-1'!$A:$A,0)-1,MATCH("quantite",'Inventaire M-1'!#REF!,0))),"Buy",INDEX('Inventaire M-1'!$A$2:$AZ$9320,MATCH(B402,'Inventaire M-1'!$A:$A,0)-1,MATCH("quantite",'Inventaire M-1'!#REF!,0))))</f>
        <v>Buy</v>
      </c>
      <c r="J402" s="175"/>
      <c r="K402" s="155" t="e">
        <f>IF(B402="-","",INDEX('Inventaire M'!$A$2:$AW$9305,MATCH(B402,'Inventaire M'!$A:$A,0)-1,MATCH("poids",'Inventaire M'!#REF!,0)))</f>
        <v>#REF!</v>
      </c>
      <c r="L402" s="155" t="str">
        <f>IF(B402="-","",IF(ISERROR(INDEX('Inventaire M-1'!$A$2:$AZ$9320,MATCH(B402,'Inventaire M-1'!$A:$A,0)-1,MATCH("poids",'Inventaire M-1'!#REF!,0))),"Buy",INDEX('Inventaire M-1'!$A$2:$AZ$9320,MATCH(B402,'Inventaire M-1'!$A:$A,0)-1,MATCH("poids",'Inventaire M-1'!#REF!,0))))</f>
        <v>Buy</v>
      </c>
      <c r="M402" s="175"/>
      <c r="N402" s="157" t="str">
        <f t="shared" si="36"/>
        <v>0</v>
      </c>
      <c r="O402" s="98" t="str">
        <f t="shared" si="37"/>
        <v/>
      </c>
      <c r="P402" s="80" t="str">
        <f t="shared" si="38"/>
        <v>TEAMSYSTEM SPA 5 01/07/2031</v>
      </c>
      <c r="Q402" s="75">
        <v>3.7800000000000001E-8</v>
      </c>
      <c r="R402" s="175" t="str">
        <f>IF(OR('Inventaire M-1'!D155="Dispo/Liquidité Investie",'Inventaire M-1'!D155="Option/Future",'Inventaire M-1'!D155="TCN",'Inventaire M-1'!D155=""),"-",'Inventaire M-1'!A155)</f>
        <v>XS2988687682</v>
      </c>
      <c r="S402" s="175" t="str">
        <f>IF(OR('Inventaire M-1'!D155="Dispo/Liquidité Investie",'Inventaire M-1'!D155="Option/Future",'Inventaire M-1'!D155="TCN",'Inventaire M-1'!D155=""),"-",'Inventaire M-1'!B155)</f>
        <v>ENGINEERING INGEGNERIA INFORMATICA 8.625 15/02/2030</v>
      </c>
      <c r="T402" s="175"/>
      <c r="U402" s="175" t="e">
        <f>IF(R402="-","",INDEX('Inventaire M-1'!$A$2:$AG$9334,MATCH(R402,'Inventaire M-1'!$A:$A,0)-1,MATCH("Cours EUR",'Inventaire M-1'!#REF!,0)))</f>
        <v>#REF!</v>
      </c>
      <c r="V402" s="175" t="str">
        <f>IF(R402="-","",IF(ISERROR(INDEX('Inventaire M'!$A$2:$AD$9319,MATCH(R402,'Inventaire M'!$A:$A,0)-1,MATCH("Cours EUR",'Inventaire M'!#REF!,0))),"Sell",INDEX('Inventaire M'!$A$2:$AD$9319,MATCH(R402,'Inventaire M'!$A:$A,0)-1,MATCH("Cours EUR",'Inventaire M'!#REF!,0))))</f>
        <v>Sell</v>
      </c>
      <c r="W402" s="175"/>
      <c r="X402" s="156" t="e">
        <f>IF(R402="-","",INDEX('Inventaire M-1'!$A$2:$AG$9334,MATCH(R402,'Inventaire M-1'!$A:$A,0)-1,MATCH("quantite",'Inventaire M-1'!#REF!,0)))</f>
        <v>#REF!</v>
      </c>
      <c r="Y402" s="156" t="str">
        <f>IF(S402="-","",IF(ISERROR(INDEX('Inventaire M'!$A$2:$AD$9319,MATCH(R402,'Inventaire M'!$A:$A,0)-1,MATCH("quantite",'Inventaire M'!#REF!,0))),"Sell",INDEX('Inventaire M'!$A$2:$AD$9319,MATCH(R402,'Inventaire M'!$A:$A,0)-1,MATCH("quantite",'Inventaire M'!#REF!,0))))</f>
        <v>Sell</v>
      </c>
      <c r="Z402" s="175"/>
      <c r="AA402" s="155" t="e">
        <f>IF(R402="-","",INDEX('Inventaire M-1'!$A$2:$AG$9334,MATCH(R402,'Inventaire M-1'!$A:$A,0)-1,MATCH("poids",'Inventaire M-1'!#REF!,0)))</f>
        <v>#REF!</v>
      </c>
      <c r="AB402" s="155" t="str">
        <f>IF(R402="-","",IF(ISERROR(INDEX('Inventaire M'!$A$2:$AD$9319,MATCH(R402,'Inventaire M'!$A:$A,0)-1,MATCH("poids",'Inventaire M'!#REF!,0))),"Sell",INDEX('Inventaire M'!$A$2:$AD$9319,MATCH(R402,'Inventaire M'!$A:$A,0)-1,MATCH("poids",'Inventaire M'!#REF!,0))))</f>
        <v>Sell</v>
      </c>
      <c r="AC402" s="175"/>
      <c r="AD402" s="157" t="str">
        <f t="shared" si="39"/>
        <v>0</v>
      </c>
      <c r="AE402" s="98" t="str">
        <f t="shared" si="40"/>
        <v/>
      </c>
      <c r="AF402" s="80" t="str">
        <f t="shared" si="41"/>
        <v>ENGINEERING INGEGNERIA INFORMATICA 8.625 15/02/2030</v>
      </c>
    </row>
    <row r="403" spans="2:32" outlineLevel="1">
      <c r="B403" s="175" t="str">
        <f>IF(OR('Inventaire M'!D181="Dispo/Liquidité Investie",'Inventaire M'!D181="Option/Future",'Inventaire M'!D181="TCN",'Inventaire M'!D181=""),"-",'Inventaire M'!A181)</f>
        <v>XS3104473312</v>
      </c>
      <c r="C403" s="175" t="str">
        <f>IF(OR('Inventaire M'!D181="Dispo/Liquidité Investie",'Inventaire M'!D181="Option/Future",'Inventaire M'!D181="TCN",'Inventaire M'!D181=""),"-",'Inventaire M'!B181)</f>
        <v>ALEXANDRITE LAKE LUX HOLDINGS SARL 6.75 30/07/2030</v>
      </c>
      <c r="D403" s="175"/>
      <c r="E403" s="175" t="e">
        <f>IF(B403="-","",INDEX('Inventaire M'!$A$2:$AW$9305,MATCH(B403,'Inventaire M'!$A:$A,0)-1,MATCH("Cours EUR",'Inventaire M'!#REF!,0)))</f>
        <v>#REF!</v>
      </c>
      <c r="F403" s="175" t="str">
        <f>IF(B403="-","",IF(ISERROR(INDEX('Inventaire M-1'!$A$2:$AZ$9320,MATCH(B403,'Inventaire M-1'!$A:$A,0)-1,MATCH("Cours EUR",'Inventaire M-1'!#REF!,0))),"Buy",INDEX('Inventaire M-1'!$A$2:$AZ$9320,MATCH(B403,'Inventaire M-1'!$A:$A,0)-1,MATCH("Cours EUR",'Inventaire M-1'!#REF!,0))))</f>
        <v>Buy</v>
      </c>
      <c r="G403" s="175"/>
      <c r="H403" s="156" t="e">
        <f>IF(B403="-","",INDEX('Inventaire M'!$A$2:$AW$9305,MATCH(B403,'Inventaire M'!$A:$A,0)-1,MATCH("quantite",'Inventaire M'!#REF!,0)))</f>
        <v>#REF!</v>
      </c>
      <c r="I403" s="156" t="str">
        <f>IF(C403="-","",IF(ISERROR(INDEX('Inventaire M-1'!$A$2:$AZ$9320,MATCH(B403,'Inventaire M-1'!$A:$A,0)-1,MATCH("quantite",'Inventaire M-1'!#REF!,0))),"Buy",INDEX('Inventaire M-1'!$A$2:$AZ$9320,MATCH(B403,'Inventaire M-1'!$A:$A,0)-1,MATCH("quantite",'Inventaire M-1'!#REF!,0))))</f>
        <v>Buy</v>
      </c>
      <c r="J403" s="175"/>
      <c r="K403" s="155" t="e">
        <f>IF(B403="-","",INDEX('Inventaire M'!$A$2:$AW$9305,MATCH(B403,'Inventaire M'!$A:$A,0)-1,MATCH("poids",'Inventaire M'!#REF!,0)))</f>
        <v>#REF!</v>
      </c>
      <c r="L403" s="155" t="str">
        <f>IF(B403="-","",IF(ISERROR(INDEX('Inventaire M-1'!$A$2:$AZ$9320,MATCH(B403,'Inventaire M-1'!$A:$A,0)-1,MATCH("poids",'Inventaire M-1'!#REF!,0))),"Buy",INDEX('Inventaire M-1'!$A$2:$AZ$9320,MATCH(B403,'Inventaire M-1'!$A:$A,0)-1,MATCH("poids",'Inventaire M-1'!#REF!,0))))</f>
        <v>Buy</v>
      </c>
      <c r="M403" s="175"/>
      <c r="N403" s="157" t="str">
        <f t="shared" si="36"/>
        <v>0</v>
      </c>
      <c r="O403" s="98" t="str">
        <f t="shared" si="37"/>
        <v/>
      </c>
      <c r="P403" s="80" t="str">
        <f t="shared" si="38"/>
        <v>ALEXANDRITE LAKE LUX HOLDINGS SARL 6.75 30/07/2030</v>
      </c>
      <c r="Q403" s="75">
        <v>3.7900000000000002E-8</v>
      </c>
      <c r="R403" s="175" t="str">
        <f>IF(OR('Inventaire M-1'!D156="Dispo/Liquidité Investie",'Inventaire M-1'!D156="Option/Future",'Inventaire M-1'!D156="TCN",'Inventaire M-1'!D156=""),"-",'Inventaire M-1'!A156)</f>
        <v>XS2998755040</v>
      </c>
      <c r="S403" s="175" t="str">
        <f>IF(OR('Inventaire M-1'!D156="Dispo/Liquidité Investie",'Inventaire M-1'!D156="Option/Future",'Inventaire M-1'!D156="TCN",'Inventaire M-1'!D156=""),"-",'Inventaire M-1'!B156)</f>
        <v>SUMMER BC HOLDCO B SARL 5.875 15/02/2030</v>
      </c>
      <c r="T403" s="175"/>
      <c r="U403" s="175" t="e">
        <f>IF(R403="-","",INDEX('Inventaire M-1'!$A$2:$AG$9334,MATCH(R403,'Inventaire M-1'!$A:$A,0)-1,MATCH("Cours EUR",'Inventaire M-1'!#REF!,0)))</f>
        <v>#REF!</v>
      </c>
      <c r="V403" s="175" t="str">
        <f>IF(R403="-","",IF(ISERROR(INDEX('Inventaire M'!$A$2:$AD$9319,MATCH(R403,'Inventaire M'!$A:$A,0)-1,MATCH("Cours EUR",'Inventaire M'!#REF!,0))),"Sell",INDEX('Inventaire M'!$A$2:$AD$9319,MATCH(R403,'Inventaire M'!$A:$A,0)-1,MATCH("Cours EUR",'Inventaire M'!#REF!,0))))</f>
        <v>Sell</v>
      </c>
      <c r="W403" s="175"/>
      <c r="X403" s="156" t="e">
        <f>IF(R403="-","",INDEX('Inventaire M-1'!$A$2:$AG$9334,MATCH(R403,'Inventaire M-1'!$A:$A,0)-1,MATCH("quantite",'Inventaire M-1'!#REF!,0)))</f>
        <v>#REF!</v>
      </c>
      <c r="Y403" s="156" t="str">
        <f>IF(S403="-","",IF(ISERROR(INDEX('Inventaire M'!$A$2:$AD$9319,MATCH(R403,'Inventaire M'!$A:$A,0)-1,MATCH("quantite",'Inventaire M'!#REF!,0))),"Sell",INDEX('Inventaire M'!$A$2:$AD$9319,MATCH(R403,'Inventaire M'!$A:$A,0)-1,MATCH("quantite",'Inventaire M'!#REF!,0))))</f>
        <v>Sell</v>
      </c>
      <c r="Z403" s="175"/>
      <c r="AA403" s="155" t="e">
        <f>IF(R403="-","",INDEX('Inventaire M-1'!$A$2:$AG$9334,MATCH(R403,'Inventaire M-1'!$A:$A,0)-1,MATCH("poids",'Inventaire M-1'!#REF!,0)))</f>
        <v>#REF!</v>
      </c>
      <c r="AB403" s="155" t="str">
        <f>IF(R403="-","",IF(ISERROR(INDEX('Inventaire M'!$A$2:$AD$9319,MATCH(R403,'Inventaire M'!$A:$A,0)-1,MATCH("poids",'Inventaire M'!#REF!,0))),"Sell",INDEX('Inventaire M'!$A$2:$AD$9319,MATCH(R403,'Inventaire M'!$A:$A,0)-1,MATCH("poids",'Inventaire M'!#REF!,0))))</f>
        <v>Sell</v>
      </c>
      <c r="AC403" s="175"/>
      <c r="AD403" s="157" t="str">
        <f t="shared" si="39"/>
        <v>0</v>
      </c>
      <c r="AE403" s="98" t="str">
        <f t="shared" si="40"/>
        <v/>
      </c>
      <c r="AF403" s="80" t="str">
        <f t="shared" si="41"/>
        <v>SUMMER BC HOLDCO B SARL 5.875 15/02/2030</v>
      </c>
    </row>
    <row r="404" spans="2:32" outlineLevel="1">
      <c r="B404" s="175" t="str">
        <f>IF(OR('Inventaire M'!D182="Dispo/Liquidité Investie",'Inventaire M'!D182="Option/Future",'Inventaire M'!D182="TCN",'Inventaire M'!D182=""),"-",'Inventaire M'!A182)</f>
        <v>XS3104481414</v>
      </c>
      <c r="C404" s="175" t="str">
        <f>IF(OR('Inventaire M'!D182="Dispo/Liquidité Investie",'Inventaire M'!D182="Option/Future",'Inventaire M'!D182="TCN",'Inventaire M'!D182=""),"-",'Inventaire M'!B182)</f>
        <v>FIBERCOP SPA 5.125 30/06/2032</v>
      </c>
      <c r="D404" s="175"/>
      <c r="E404" s="175" t="e">
        <f>IF(B404="-","",INDEX('Inventaire M'!$A$2:$AW$9305,MATCH(B404,'Inventaire M'!$A:$A,0)-1,MATCH("Cours EUR",'Inventaire M'!#REF!,0)))</f>
        <v>#REF!</v>
      </c>
      <c r="F404" s="175" t="str">
        <f>IF(B404="-","",IF(ISERROR(INDEX('Inventaire M-1'!$A$2:$AZ$9320,MATCH(B404,'Inventaire M-1'!$A:$A,0)-1,MATCH("Cours EUR",'Inventaire M-1'!#REF!,0))),"Buy",INDEX('Inventaire M-1'!$A$2:$AZ$9320,MATCH(B404,'Inventaire M-1'!$A:$A,0)-1,MATCH("Cours EUR",'Inventaire M-1'!#REF!,0))))</f>
        <v>Buy</v>
      </c>
      <c r="G404" s="175"/>
      <c r="H404" s="156" t="e">
        <f>IF(B404="-","",INDEX('Inventaire M'!$A$2:$AW$9305,MATCH(B404,'Inventaire M'!$A:$A,0)-1,MATCH("quantite",'Inventaire M'!#REF!,0)))</f>
        <v>#REF!</v>
      </c>
      <c r="I404" s="156" t="str">
        <f>IF(C404="-","",IF(ISERROR(INDEX('Inventaire M-1'!$A$2:$AZ$9320,MATCH(B404,'Inventaire M-1'!$A:$A,0)-1,MATCH("quantite",'Inventaire M-1'!#REF!,0))),"Buy",INDEX('Inventaire M-1'!$A$2:$AZ$9320,MATCH(B404,'Inventaire M-1'!$A:$A,0)-1,MATCH("quantite",'Inventaire M-1'!#REF!,0))))</f>
        <v>Buy</v>
      </c>
      <c r="J404" s="175"/>
      <c r="K404" s="155" t="e">
        <f>IF(B404="-","",INDEX('Inventaire M'!$A$2:$AW$9305,MATCH(B404,'Inventaire M'!$A:$A,0)-1,MATCH("poids",'Inventaire M'!#REF!,0)))</f>
        <v>#REF!</v>
      </c>
      <c r="L404" s="155" t="str">
        <f>IF(B404="-","",IF(ISERROR(INDEX('Inventaire M-1'!$A$2:$AZ$9320,MATCH(B404,'Inventaire M-1'!$A:$A,0)-1,MATCH("poids",'Inventaire M-1'!#REF!,0))),"Buy",INDEX('Inventaire M-1'!$A$2:$AZ$9320,MATCH(B404,'Inventaire M-1'!$A:$A,0)-1,MATCH("poids",'Inventaire M-1'!#REF!,0))))</f>
        <v>Buy</v>
      </c>
      <c r="M404" s="175"/>
      <c r="N404" s="157" t="str">
        <f t="shared" si="36"/>
        <v>0</v>
      </c>
      <c r="O404" s="98" t="str">
        <f t="shared" si="37"/>
        <v/>
      </c>
      <c r="P404" s="80" t="str">
        <f t="shared" si="38"/>
        <v>FIBERCOP SPA 5.125 30/06/2032</v>
      </c>
      <c r="Q404" s="75">
        <v>3.8000000000000003E-8</v>
      </c>
      <c r="R404" s="175" t="str">
        <f>IF(OR('Inventaire M-1'!D157="Dispo/Liquidité Investie",'Inventaire M-1'!D157="Option/Future",'Inventaire M-1'!D157="TCN",'Inventaire M-1'!D157=""),"-",'Inventaire M-1'!A157)</f>
        <v>XS2999659704</v>
      </c>
      <c r="S404" s="175" t="str">
        <f>IF(OR('Inventaire M-1'!D157="Dispo/Liquidité Investie",'Inventaire M-1'!D157="Option/Future",'Inventaire M-1'!D157="TCN",'Inventaire M-1'!D157=""),"-",'Inventaire M-1'!B157)</f>
        <v>NISSAN MOTOR CO LTD 5.25 17/07/2029</v>
      </c>
      <c r="T404" s="175"/>
      <c r="U404" s="175" t="e">
        <f>IF(R404="-","",INDEX('Inventaire M-1'!$A$2:$AG$9334,MATCH(R404,'Inventaire M-1'!$A:$A,0)-1,MATCH("Cours EUR",'Inventaire M-1'!#REF!,0)))</f>
        <v>#REF!</v>
      </c>
      <c r="V404" s="175" t="str">
        <f>IF(R404="-","",IF(ISERROR(INDEX('Inventaire M'!$A$2:$AD$9319,MATCH(R404,'Inventaire M'!$A:$A,0)-1,MATCH("Cours EUR",'Inventaire M'!#REF!,0))),"Sell",INDEX('Inventaire M'!$A$2:$AD$9319,MATCH(R404,'Inventaire M'!$A:$A,0)-1,MATCH("Cours EUR",'Inventaire M'!#REF!,0))))</f>
        <v>Sell</v>
      </c>
      <c r="W404" s="175"/>
      <c r="X404" s="156" t="e">
        <f>IF(R404="-","",INDEX('Inventaire M-1'!$A$2:$AG$9334,MATCH(R404,'Inventaire M-1'!$A:$A,0)-1,MATCH("quantite",'Inventaire M-1'!#REF!,0)))</f>
        <v>#REF!</v>
      </c>
      <c r="Y404" s="156" t="str">
        <f>IF(S404="-","",IF(ISERROR(INDEX('Inventaire M'!$A$2:$AD$9319,MATCH(R404,'Inventaire M'!$A:$A,0)-1,MATCH("quantite",'Inventaire M'!#REF!,0))),"Sell",INDEX('Inventaire M'!$A$2:$AD$9319,MATCH(R404,'Inventaire M'!$A:$A,0)-1,MATCH("quantite",'Inventaire M'!#REF!,0))))</f>
        <v>Sell</v>
      </c>
      <c r="Z404" s="175"/>
      <c r="AA404" s="155" t="e">
        <f>IF(R404="-","",INDEX('Inventaire M-1'!$A$2:$AG$9334,MATCH(R404,'Inventaire M-1'!$A:$A,0)-1,MATCH("poids",'Inventaire M-1'!#REF!,0)))</f>
        <v>#REF!</v>
      </c>
      <c r="AB404" s="155" t="str">
        <f>IF(R404="-","",IF(ISERROR(INDEX('Inventaire M'!$A$2:$AD$9319,MATCH(R404,'Inventaire M'!$A:$A,0)-1,MATCH("poids",'Inventaire M'!#REF!,0))),"Sell",INDEX('Inventaire M'!$A$2:$AD$9319,MATCH(R404,'Inventaire M'!$A:$A,0)-1,MATCH("poids",'Inventaire M'!#REF!,0))))</f>
        <v>Sell</v>
      </c>
      <c r="AC404" s="175"/>
      <c r="AD404" s="157" t="str">
        <f t="shared" si="39"/>
        <v>0</v>
      </c>
      <c r="AE404" s="98" t="str">
        <f t="shared" si="40"/>
        <v/>
      </c>
      <c r="AF404" s="80" t="str">
        <f t="shared" si="41"/>
        <v>NISSAN MOTOR CO LTD 5.25 17/07/2029</v>
      </c>
    </row>
    <row r="405" spans="2:32" outlineLevel="1">
      <c r="B405" s="175" t="str">
        <f>IF(OR('Inventaire M'!D183="Dispo/Liquidité Investie",'Inventaire M'!D183="Option/Future",'Inventaire M'!D183="TCN",'Inventaire M'!D183=""),"-",'Inventaire M'!A183)</f>
        <v>XS3106724241</v>
      </c>
      <c r="C405" s="175" t="str">
        <f>IF(OR('Inventaire M'!D183="Dispo/Liquidité Investie",'Inventaire M'!D183="Option/Future",'Inventaire M'!D183="TCN",'Inventaire M'!D183=""),"-",'Inventaire M'!B183)</f>
        <v>DOLCETTO HOLDCO SPA 5.625 14/07/2032</v>
      </c>
      <c r="D405" s="175"/>
      <c r="E405" s="175" t="e">
        <f>IF(B405="-","",INDEX('Inventaire M'!$A$2:$AW$9305,MATCH(B405,'Inventaire M'!$A:$A,0)-1,MATCH("Cours EUR",'Inventaire M'!#REF!,0)))</f>
        <v>#REF!</v>
      </c>
      <c r="F405" s="175" t="str">
        <f>IF(B405="-","",IF(ISERROR(INDEX('Inventaire M-1'!$A$2:$AZ$9320,MATCH(B405,'Inventaire M-1'!$A:$A,0)-1,MATCH("Cours EUR",'Inventaire M-1'!#REF!,0))),"Buy",INDEX('Inventaire M-1'!$A$2:$AZ$9320,MATCH(B405,'Inventaire M-1'!$A:$A,0)-1,MATCH("Cours EUR",'Inventaire M-1'!#REF!,0))))</f>
        <v>Buy</v>
      </c>
      <c r="G405" s="175"/>
      <c r="H405" s="156" t="e">
        <f>IF(B405="-","",INDEX('Inventaire M'!$A$2:$AW$9305,MATCH(B405,'Inventaire M'!$A:$A,0)-1,MATCH("quantite",'Inventaire M'!#REF!,0)))</f>
        <v>#REF!</v>
      </c>
      <c r="I405" s="156" t="str">
        <f>IF(C405="-","",IF(ISERROR(INDEX('Inventaire M-1'!$A$2:$AZ$9320,MATCH(B405,'Inventaire M-1'!$A:$A,0)-1,MATCH("quantite",'Inventaire M-1'!#REF!,0))),"Buy",INDEX('Inventaire M-1'!$A$2:$AZ$9320,MATCH(B405,'Inventaire M-1'!$A:$A,0)-1,MATCH("quantite",'Inventaire M-1'!#REF!,0))))</f>
        <v>Buy</v>
      </c>
      <c r="J405" s="175"/>
      <c r="K405" s="155" t="e">
        <f>IF(B405="-","",INDEX('Inventaire M'!$A$2:$AW$9305,MATCH(B405,'Inventaire M'!$A:$A,0)-1,MATCH("poids",'Inventaire M'!#REF!,0)))</f>
        <v>#REF!</v>
      </c>
      <c r="L405" s="155" t="str">
        <f>IF(B405="-","",IF(ISERROR(INDEX('Inventaire M-1'!$A$2:$AZ$9320,MATCH(B405,'Inventaire M-1'!$A:$A,0)-1,MATCH("poids",'Inventaire M-1'!#REF!,0))),"Buy",INDEX('Inventaire M-1'!$A$2:$AZ$9320,MATCH(B405,'Inventaire M-1'!$A:$A,0)-1,MATCH("poids",'Inventaire M-1'!#REF!,0))))</f>
        <v>Buy</v>
      </c>
      <c r="M405" s="175"/>
      <c r="N405" s="157" t="str">
        <f t="shared" si="36"/>
        <v>0</v>
      </c>
      <c r="O405" s="98" t="str">
        <f t="shared" si="37"/>
        <v/>
      </c>
      <c r="P405" s="80" t="str">
        <f t="shared" si="38"/>
        <v>DOLCETTO HOLDCO SPA 5.625 14/07/2032</v>
      </c>
      <c r="Q405" s="75">
        <v>3.8099999999999997E-8</v>
      </c>
      <c r="R405" s="175" t="str">
        <f>IF(OR('Inventaire M-1'!D158="Dispo/Liquidité Investie",'Inventaire M-1'!D158="Option/Future",'Inventaire M-1'!D158="TCN",'Inventaire M-1'!D158=""),"-",'Inventaire M-1'!A158)</f>
        <v>XS3004167642</v>
      </c>
      <c r="S405" s="175" t="str">
        <f>IF(OR('Inventaire M-1'!D158="Dispo/Liquidité Investie",'Inventaire M-1'!D158="Option/Future",'Inventaire M-1'!D158="TCN",'Inventaire M-1'!D158=""),"-",'Inventaire M-1'!B158)</f>
        <v>PRIMO WATER HOLDINGS INC 3.875 12/10/2028</v>
      </c>
      <c r="T405" s="175"/>
      <c r="U405" s="175" t="e">
        <f>IF(R405="-","",INDEX('Inventaire M-1'!$A$2:$AG$9334,MATCH(R405,'Inventaire M-1'!$A:$A,0)-1,MATCH("Cours EUR",'Inventaire M-1'!#REF!,0)))</f>
        <v>#REF!</v>
      </c>
      <c r="V405" s="175" t="str">
        <f>IF(R405="-","",IF(ISERROR(INDEX('Inventaire M'!$A$2:$AD$9319,MATCH(R405,'Inventaire M'!$A:$A,0)-1,MATCH("Cours EUR",'Inventaire M'!#REF!,0))),"Sell",INDEX('Inventaire M'!$A$2:$AD$9319,MATCH(R405,'Inventaire M'!$A:$A,0)-1,MATCH("Cours EUR",'Inventaire M'!#REF!,0))))</f>
        <v>Sell</v>
      </c>
      <c r="W405" s="175"/>
      <c r="X405" s="156" t="e">
        <f>IF(R405="-","",INDEX('Inventaire M-1'!$A$2:$AG$9334,MATCH(R405,'Inventaire M-1'!$A:$A,0)-1,MATCH("quantite",'Inventaire M-1'!#REF!,0)))</f>
        <v>#REF!</v>
      </c>
      <c r="Y405" s="156" t="str">
        <f>IF(S405="-","",IF(ISERROR(INDEX('Inventaire M'!$A$2:$AD$9319,MATCH(R405,'Inventaire M'!$A:$A,0)-1,MATCH("quantite",'Inventaire M'!#REF!,0))),"Sell",INDEX('Inventaire M'!$A$2:$AD$9319,MATCH(R405,'Inventaire M'!$A:$A,0)-1,MATCH("quantite",'Inventaire M'!#REF!,0))))</f>
        <v>Sell</v>
      </c>
      <c r="Z405" s="175"/>
      <c r="AA405" s="155" t="e">
        <f>IF(R405="-","",INDEX('Inventaire M-1'!$A$2:$AG$9334,MATCH(R405,'Inventaire M-1'!$A:$A,0)-1,MATCH("poids",'Inventaire M-1'!#REF!,0)))</f>
        <v>#REF!</v>
      </c>
      <c r="AB405" s="155" t="str">
        <f>IF(R405="-","",IF(ISERROR(INDEX('Inventaire M'!$A$2:$AD$9319,MATCH(R405,'Inventaire M'!$A:$A,0)-1,MATCH("poids",'Inventaire M'!#REF!,0))),"Sell",INDEX('Inventaire M'!$A$2:$AD$9319,MATCH(R405,'Inventaire M'!$A:$A,0)-1,MATCH("poids",'Inventaire M'!#REF!,0))))</f>
        <v>Sell</v>
      </c>
      <c r="AC405" s="175"/>
      <c r="AD405" s="157" t="str">
        <f t="shared" si="39"/>
        <v>0</v>
      </c>
      <c r="AE405" s="98" t="str">
        <f t="shared" si="40"/>
        <v/>
      </c>
      <c r="AF405" s="80" t="str">
        <f t="shared" si="41"/>
        <v>PRIMO WATER HOLDINGS INC 3.875 12/10/2028</v>
      </c>
    </row>
    <row r="406" spans="2:32" outlineLevel="1">
      <c r="B406" s="175" t="str">
        <f>IF(OR('Inventaire M'!D184="Dispo/Liquidité Investie",'Inventaire M'!D184="Option/Future",'Inventaire M'!D184="TCN",'Inventaire M'!D184=""),"-",'Inventaire M'!A184)</f>
        <v>XS3109433048</v>
      </c>
      <c r="C406" s="175" t="str">
        <f>IF(OR('Inventaire M'!D184="Dispo/Liquidité Investie",'Inventaire M'!D184="Option/Future",'Inventaire M'!D184="TCN",'Inventaire M'!D184=""),"-",'Inventaire M'!B184)</f>
        <v>BEACH ACQUISITION BIDCO LLC 5.25 15/07/2032</v>
      </c>
      <c r="D406" s="175"/>
      <c r="E406" s="175" t="e">
        <f>IF(B406="-","",INDEX('Inventaire M'!$A$2:$AW$9305,MATCH(B406,'Inventaire M'!$A:$A,0)-1,MATCH("Cours EUR",'Inventaire M'!#REF!,0)))</f>
        <v>#REF!</v>
      </c>
      <c r="F406" s="175" t="str">
        <f>IF(B406="-","",IF(ISERROR(INDEX('Inventaire M-1'!$A$2:$AZ$9320,MATCH(B406,'Inventaire M-1'!$A:$A,0)-1,MATCH("Cours EUR",'Inventaire M-1'!#REF!,0))),"Buy",INDEX('Inventaire M-1'!$A$2:$AZ$9320,MATCH(B406,'Inventaire M-1'!$A:$A,0)-1,MATCH("Cours EUR",'Inventaire M-1'!#REF!,0))))</f>
        <v>Buy</v>
      </c>
      <c r="G406" s="175"/>
      <c r="H406" s="156" t="e">
        <f>IF(B406="-","",INDEX('Inventaire M'!$A$2:$AW$9305,MATCH(B406,'Inventaire M'!$A:$A,0)-1,MATCH("quantite",'Inventaire M'!#REF!,0)))</f>
        <v>#REF!</v>
      </c>
      <c r="I406" s="156" t="str">
        <f>IF(C406="-","",IF(ISERROR(INDEX('Inventaire M-1'!$A$2:$AZ$9320,MATCH(B406,'Inventaire M-1'!$A:$A,0)-1,MATCH("quantite",'Inventaire M-1'!#REF!,0))),"Buy",INDEX('Inventaire M-1'!$A$2:$AZ$9320,MATCH(B406,'Inventaire M-1'!$A:$A,0)-1,MATCH("quantite",'Inventaire M-1'!#REF!,0))))</f>
        <v>Buy</v>
      </c>
      <c r="J406" s="175"/>
      <c r="K406" s="155" t="e">
        <f>IF(B406="-","",INDEX('Inventaire M'!$A$2:$AW$9305,MATCH(B406,'Inventaire M'!$A:$A,0)-1,MATCH("poids",'Inventaire M'!#REF!,0)))</f>
        <v>#REF!</v>
      </c>
      <c r="L406" s="155" t="str">
        <f>IF(B406="-","",IF(ISERROR(INDEX('Inventaire M-1'!$A$2:$AZ$9320,MATCH(B406,'Inventaire M-1'!$A:$A,0)-1,MATCH("poids",'Inventaire M-1'!#REF!,0))),"Buy",INDEX('Inventaire M-1'!$A$2:$AZ$9320,MATCH(B406,'Inventaire M-1'!$A:$A,0)-1,MATCH("poids",'Inventaire M-1'!#REF!,0))))</f>
        <v>Buy</v>
      </c>
      <c r="M406" s="175"/>
      <c r="N406" s="157" t="str">
        <f t="shared" si="36"/>
        <v>0</v>
      </c>
      <c r="O406" s="98" t="str">
        <f t="shared" si="37"/>
        <v/>
      </c>
      <c r="P406" s="80" t="str">
        <f t="shared" si="38"/>
        <v>BEACH ACQUISITION BIDCO LLC 5.25 15/07/2032</v>
      </c>
      <c r="Q406" s="75">
        <v>3.8199999999999998E-8</v>
      </c>
      <c r="R406" s="175" t="str">
        <f>IF(OR('Inventaire M-1'!D159="Dispo/Liquidité Investie",'Inventaire M-1'!D159="Option/Future",'Inventaire M-1'!D159="TCN",'Inventaire M-1'!D159=""),"-",'Inventaire M-1'!A159)</f>
        <v>XS3005193183</v>
      </c>
      <c r="S406" s="175" t="str">
        <f>IF(OR('Inventaire M-1'!D159="Dispo/Liquidité Investie",'Inventaire M-1'!D159="Option/Future",'Inventaire M-1'!D159="TCN",'Inventaire M-1'!D159=""),"-",'Inventaire M-1'!B159)</f>
        <v>REKEEP SPA 9 15/09/2029</v>
      </c>
      <c r="T406" s="175"/>
      <c r="U406" s="175" t="e">
        <f>IF(R406="-","",INDEX('Inventaire M-1'!$A$2:$AG$9334,MATCH(R406,'Inventaire M-1'!$A:$A,0)-1,MATCH("Cours EUR",'Inventaire M-1'!#REF!,0)))</f>
        <v>#REF!</v>
      </c>
      <c r="V406" s="175" t="str">
        <f>IF(R406="-","",IF(ISERROR(INDEX('Inventaire M'!$A$2:$AD$9319,MATCH(R406,'Inventaire M'!$A:$A,0)-1,MATCH("Cours EUR",'Inventaire M'!#REF!,0))),"Sell",INDEX('Inventaire M'!$A$2:$AD$9319,MATCH(R406,'Inventaire M'!$A:$A,0)-1,MATCH("Cours EUR",'Inventaire M'!#REF!,0))))</f>
        <v>Sell</v>
      </c>
      <c r="W406" s="175"/>
      <c r="X406" s="156" t="e">
        <f>IF(R406="-","",INDEX('Inventaire M-1'!$A$2:$AG$9334,MATCH(R406,'Inventaire M-1'!$A:$A,0)-1,MATCH("quantite",'Inventaire M-1'!#REF!,0)))</f>
        <v>#REF!</v>
      </c>
      <c r="Y406" s="156" t="str">
        <f>IF(S406="-","",IF(ISERROR(INDEX('Inventaire M'!$A$2:$AD$9319,MATCH(R406,'Inventaire M'!$A:$A,0)-1,MATCH("quantite",'Inventaire M'!#REF!,0))),"Sell",INDEX('Inventaire M'!$A$2:$AD$9319,MATCH(R406,'Inventaire M'!$A:$A,0)-1,MATCH("quantite",'Inventaire M'!#REF!,0))))</f>
        <v>Sell</v>
      </c>
      <c r="Z406" s="175"/>
      <c r="AA406" s="155" t="e">
        <f>IF(R406="-","",INDEX('Inventaire M-1'!$A$2:$AG$9334,MATCH(R406,'Inventaire M-1'!$A:$A,0)-1,MATCH("poids",'Inventaire M-1'!#REF!,0)))</f>
        <v>#REF!</v>
      </c>
      <c r="AB406" s="155" t="str">
        <f>IF(R406="-","",IF(ISERROR(INDEX('Inventaire M'!$A$2:$AD$9319,MATCH(R406,'Inventaire M'!$A:$A,0)-1,MATCH("poids",'Inventaire M'!#REF!,0))),"Sell",INDEX('Inventaire M'!$A$2:$AD$9319,MATCH(R406,'Inventaire M'!$A:$A,0)-1,MATCH("poids",'Inventaire M'!#REF!,0))))</f>
        <v>Sell</v>
      </c>
      <c r="AC406" s="175"/>
      <c r="AD406" s="157" t="str">
        <f t="shared" si="39"/>
        <v>0</v>
      </c>
      <c r="AE406" s="98" t="str">
        <f t="shared" si="40"/>
        <v/>
      </c>
      <c r="AF406" s="80" t="str">
        <f t="shared" si="41"/>
        <v>REKEEP SPA 9 15/09/2029</v>
      </c>
    </row>
    <row r="407" spans="2:32" outlineLevel="1">
      <c r="B407" s="175" t="str">
        <f>IF(OR('Inventaire M'!D185="Dispo/Liquidité Investie",'Inventaire M'!D185="Option/Future",'Inventaire M'!D185="TCN",'Inventaire M'!D185=""),"-",'Inventaire M'!A185)</f>
        <v>XS3111831254</v>
      </c>
      <c r="C407" s="175" t="str">
        <f>IF(OR('Inventaire M'!D185="Dispo/Liquidité Investie",'Inventaire M'!D185="Option/Future",'Inventaire M'!D185="TCN",'Inventaire M'!D185=""),"-",'Inventaire M'!B185)</f>
        <v>PAPREC HOLDING SA 4.5 15/07/2032</v>
      </c>
      <c r="D407" s="175"/>
      <c r="E407" s="175" t="e">
        <f>IF(B407="-","",INDEX('Inventaire M'!$A$2:$AW$9305,MATCH(B407,'Inventaire M'!$A:$A,0)-1,MATCH("Cours EUR",'Inventaire M'!#REF!,0)))</f>
        <v>#REF!</v>
      </c>
      <c r="F407" s="175" t="str">
        <f>IF(B407="-","",IF(ISERROR(INDEX('Inventaire M-1'!$A$2:$AZ$9320,MATCH(B407,'Inventaire M-1'!$A:$A,0)-1,MATCH("Cours EUR",'Inventaire M-1'!#REF!,0))),"Buy",INDEX('Inventaire M-1'!$A$2:$AZ$9320,MATCH(B407,'Inventaire M-1'!$A:$A,0)-1,MATCH("Cours EUR",'Inventaire M-1'!#REF!,0))))</f>
        <v>Buy</v>
      </c>
      <c r="G407" s="175"/>
      <c r="H407" s="156" t="e">
        <f>IF(B407="-","",INDEX('Inventaire M'!$A$2:$AW$9305,MATCH(B407,'Inventaire M'!$A:$A,0)-1,MATCH("quantite",'Inventaire M'!#REF!,0)))</f>
        <v>#REF!</v>
      </c>
      <c r="I407" s="156" t="str">
        <f>IF(C407="-","",IF(ISERROR(INDEX('Inventaire M-1'!$A$2:$AZ$9320,MATCH(B407,'Inventaire M-1'!$A:$A,0)-1,MATCH("quantite",'Inventaire M-1'!#REF!,0))),"Buy",INDEX('Inventaire M-1'!$A$2:$AZ$9320,MATCH(B407,'Inventaire M-1'!$A:$A,0)-1,MATCH("quantite",'Inventaire M-1'!#REF!,0))))</f>
        <v>Buy</v>
      </c>
      <c r="J407" s="175"/>
      <c r="K407" s="155" t="e">
        <f>IF(B407="-","",INDEX('Inventaire M'!$A$2:$AW$9305,MATCH(B407,'Inventaire M'!$A:$A,0)-1,MATCH("poids",'Inventaire M'!#REF!,0)))</f>
        <v>#REF!</v>
      </c>
      <c r="L407" s="155" t="str">
        <f>IF(B407="-","",IF(ISERROR(INDEX('Inventaire M-1'!$A$2:$AZ$9320,MATCH(B407,'Inventaire M-1'!$A:$A,0)-1,MATCH("poids",'Inventaire M-1'!#REF!,0))),"Buy",INDEX('Inventaire M-1'!$A$2:$AZ$9320,MATCH(B407,'Inventaire M-1'!$A:$A,0)-1,MATCH("poids",'Inventaire M-1'!#REF!,0))))</f>
        <v>Buy</v>
      </c>
      <c r="M407" s="175"/>
      <c r="N407" s="157" t="str">
        <f t="shared" si="36"/>
        <v>0</v>
      </c>
      <c r="O407" s="98" t="str">
        <f t="shared" si="37"/>
        <v/>
      </c>
      <c r="P407" s="80" t="str">
        <f t="shared" si="38"/>
        <v>PAPREC HOLDING SA 4.5 15/07/2032</v>
      </c>
      <c r="Q407" s="75">
        <v>3.8299999999999999E-8</v>
      </c>
      <c r="R407" s="175" t="str">
        <f>IF(OR('Inventaire M-1'!D160="Dispo/Liquidité Investie",'Inventaire M-1'!D160="Option/Future",'Inventaire M-1'!D160="TCN",'Inventaire M-1'!D160=""),"-",'Inventaire M-1'!A160)</f>
        <v>XS3017017990</v>
      </c>
      <c r="S407" s="175" t="str">
        <f>IF(OR('Inventaire M-1'!D160="Dispo/Liquidité Investie",'Inventaire M-1'!D160="Option/Future",'Inventaire M-1'!D160="TCN",'Inventaire M-1'!D160=""),"-",'Inventaire M-1'!B160)</f>
        <v>SAPPI PAPIER HOLDING GMBH 4.5 15/03/2032</v>
      </c>
      <c r="T407" s="175"/>
      <c r="U407" s="175" t="e">
        <f>IF(R407="-","",INDEX('Inventaire M-1'!$A$2:$AG$9334,MATCH(R407,'Inventaire M-1'!$A:$A,0)-1,MATCH("Cours EUR",'Inventaire M-1'!#REF!,0)))</f>
        <v>#REF!</v>
      </c>
      <c r="V407" s="175" t="str">
        <f>IF(R407="-","",IF(ISERROR(INDEX('Inventaire M'!$A$2:$AD$9319,MATCH(R407,'Inventaire M'!$A:$A,0)-1,MATCH("Cours EUR",'Inventaire M'!#REF!,0))),"Sell",INDEX('Inventaire M'!$A$2:$AD$9319,MATCH(R407,'Inventaire M'!$A:$A,0)-1,MATCH("Cours EUR",'Inventaire M'!#REF!,0))))</f>
        <v>Sell</v>
      </c>
      <c r="W407" s="175"/>
      <c r="X407" s="156" t="e">
        <f>IF(R407="-","",INDEX('Inventaire M-1'!$A$2:$AG$9334,MATCH(R407,'Inventaire M-1'!$A:$A,0)-1,MATCH("quantite",'Inventaire M-1'!#REF!,0)))</f>
        <v>#REF!</v>
      </c>
      <c r="Y407" s="156" t="str">
        <f>IF(S407="-","",IF(ISERROR(INDEX('Inventaire M'!$A$2:$AD$9319,MATCH(R407,'Inventaire M'!$A:$A,0)-1,MATCH("quantite",'Inventaire M'!#REF!,0))),"Sell",INDEX('Inventaire M'!$A$2:$AD$9319,MATCH(R407,'Inventaire M'!$A:$A,0)-1,MATCH("quantite",'Inventaire M'!#REF!,0))))</f>
        <v>Sell</v>
      </c>
      <c r="Z407" s="175"/>
      <c r="AA407" s="155" t="e">
        <f>IF(R407="-","",INDEX('Inventaire M-1'!$A$2:$AG$9334,MATCH(R407,'Inventaire M-1'!$A:$A,0)-1,MATCH("poids",'Inventaire M-1'!#REF!,0)))</f>
        <v>#REF!</v>
      </c>
      <c r="AB407" s="155" t="str">
        <f>IF(R407="-","",IF(ISERROR(INDEX('Inventaire M'!$A$2:$AD$9319,MATCH(R407,'Inventaire M'!$A:$A,0)-1,MATCH("poids",'Inventaire M'!#REF!,0))),"Sell",INDEX('Inventaire M'!$A$2:$AD$9319,MATCH(R407,'Inventaire M'!$A:$A,0)-1,MATCH("poids",'Inventaire M'!#REF!,0))))</f>
        <v>Sell</v>
      </c>
      <c r="AC407" s="175"/>
      <c r="AD407" s="157" t="str">
        <f t="shared" si="39"/>
        <v>0</v>
      </c>
      <c r="AE407" s="98" t="str">
        <f t="shared" si="40"/>
        <v/>
      </c>
      <c r="AF407" s="80" t="str">
        <f t="shared" si="41"/>
        <v>SAPPI PAPIER HOLDING GMBH 4.5 15/03/2032</v>
      </c>
    </row>
    <row r="408" spans="2:32" outlineLevel="1">
      <c r="B408" s="175" t="str">
        <f>IF(OR('Inventaire M'!D186="Dispo/Liquidité Investie",'Inventaire M'!D186="Option/Future",'Inventaire M'!D186="TCN",'Inventaire M'!D186=""),"-",'Inventaire M'!A186)</f>
        <v>XS3124322424</v>
      </c>
      <c r="C408" s="175" t="str">
        <f>IF(OR('Inventaire M'!D186="Dispo/Liquidité Investie",'Inventaire M'!D186="Option/Future",'Inventaire M'!D186="TCN",'Inventaire M'!D186=""),"-",'Inventaire M'!B186)</f>
        <v>LEVI STRAUSS &amp; CO 4 15/08/2030</v>
      </c>
      <c r="D408" s="175"/>
      <c r="E408" s="175" t="e">
        <f>IF(B408="-","",INDEX('Inventaire M'!$A$2:$AW$9305,MATCH(B408,'Inventaire M'!$A:$A,0)-1,MATCH("Cours EUR",'Inventaire M'!#REF!,0)))</f>
        <v>#REF!</v>
      </c>
      <c r="F408" s="175" t="str">
        <f>IF(B408="-","",IF(ISERROR(INDEX('Inventaire M-1'!$A$2:$AZ$9320,MATCH(B408,'Inventaire M-1'!$A:$A,0)-1,MATCH("Cours EUR",'Inventaire M-1'!#REF!,0))),"Buy",INDEX('Inventaire M-1'!$A$2:$AZ$9320,MATCH(B408,'Inventaire M-1'!$A:$A,0)-1,MATCH("Cours EUR",'Inventaire M-1'!#REF!,0))))</f>
        <v>Buy</v>
      </c>
      <c r="G408" s="175"/>
      <c r="H408" s="156" t="e">
        <f>IF(B408="-","",INDEX('Inventaire M'!$A$2:$AW$9305,MATCH(B408,'Inventaire M'!$A:$A,0)-1,MATCH("quantite",'Inventaire M'!#REF!,0)))</f>
        <v>#REF!</v>
      </c>
      <c r="I408" s="156" t="str">
        <f>IF(C408="-","",IF(ISERROR(INDEX('Inventaire M-1'!$A$2:$AZ$9320,MATCH(B408,'Inventaire M-1'!$A:$A,0)-1,MATCH("quantite",'Inventaire M-1'!#REF!,0))),"Buy",INDEX('Inventaire M-1'!$A$2:$AZ$9320,MATCH(B408,'Inventaire M-1'!$A:$A,0)-1,MATCH("quantite",'Inventaire M-1'!#REF!,0))))</f>
        <v>Buy</v>
      </c>
      <c r="J408" s="175"/>
      <c r="K408" s="155" t="e">
        <f>IF(B408="-","",INDEX('Inventaire M'!$A$2:$AW$9305,MATCH(B408,'Inventaire M'!$A:$A,0)-1,MATCH("poids",'Inventaire M'!#REF!,0)))</f>
        <v>#REF!</v>
      </c>
      <c r="L408" s="155" t="str">
        <f>IF(B408="-","",IF(ISERROR(INDEX('Inventaire M-1'!$A$2:$AZ$9320,MATCH(B408,'Inventaire M-1'!$A:$A,0)-1,MATCH("poids",'Inventaire M-1'!#REF!,0))),"Buy",INDEX('Inventaire M-1'!$A$2:$AZ$9320,MATCH(B408,'Inventaire M-1'!$A:$A,0)-1,MATCH("poids",'Inventaire M-1'!#REF!,0))))</f>
        <v>Buy</v>
      </c>
      <c r="M408" s="175"/>
      <c r="N408" s="157" t="str">
        <f t="shared" si="36"/>
        <v>0</v>
      </c>
      <c r="O408" s="98" t="str">
        <f t="shared" si="37"/>
        <v/>
      </c>
      <c r="P408" s="80" t="str">
        <f t="shared" si="38"/>
        <v>LEVI STRAUSS &amp; CO 4 15/08/2030</v>
      </c>
      <c r="Q408" s="75">
        <v>3.84E-8</v>
      </c>
      <c r="R408" s="175" t="str">
        <f>IF(OR('Inventaire M-1'!D161="Dispo/Liquidité Investie",'Inventaire M-1'!D161="Option/Future",'Inventaire M-1'!D161="TCN",'Inventaire M-1'!D161=""),"-",'Inventaire M-1'!A161)</f>
        <v>XS3021201887</v>
      </c>
      <c r="S408" s="175" t="str">
        <f>IF(OR('Inventaire M-1'!D161="Dispo/Liquidité Investie",'Inventaire M-1'!D161="Option/Future",'Inventaire M-1'!D161="TCN",'Inventaire M-1'!D161=""),"-",'Inventaire M-1'!B161)</f>
        <v>SNF GROUP SA 4.5 15/03/2032</v>
      </c>
      <c r="T408" s="175"/>
      <c r="U408" s="175" t="e">
        <f>IF(R408="-","",INDEX('Inventaire M-1'!$A$2:$AG$9334,MATCH(R408,'Inventaire M-1'!$A:$A,0)-1,MATCH("Cours EUR",'Inventaire M-1'!#REF!,0)))</f>
        <v>#REF!</v>
      </c>
      <c r="V408" s="175" t="str">
        <f>IF(R408="-","",IF(ISERROR(INDEX('Inventaire M'!$A$2:$AD$9319,MATCH(R408,'Inventaire M'!$A:$A,0)-1,MATCH("Cours EUR",'Inventaire M'!#REF!,0))),"Sell",INDEX('Inventaire M'!$A$2:$AD$9319,MATCH(R408,'Inventaire M'!$A:$A,0)-1,MATCH("Cours EUR",'Inventaire M'!#REF!,0))))</f>
        <v>Sell</v>
      </c>
      <c r="W408" s="175"/>
      <c r="X408" s="156" t="e">
        <f>IF(R408="-","",INDEX('Inventaire M-1'!$A$2:$AG$9334,MATCH(R408,'Inventaire M-1'!$A:$A,0)-1,MATCH("quantite",'Inventaire M-1'!#REF!,0)))</f>
        <v>#REF!</v>
      </c>
      <c r="Y408" s="156" t="str">
        <f>IF(S408="-","",IF(ISERROR(INDEX('Inventaire M'!$A$2:$AD$9319,MATCH(R408,'Inventaire M'!$A:$A,0)-1,MATCH("quantite",'Inventaire M'!#REF!,0))),"Sell",INDEX('Inventaire M'!$A$2:$AD$9319,MATCH(R408,'Inventaire M'!$A:$A,0)-1,MATCH("quantite",'Inventaire M'!#REF!,0))))</f>
        <v>Sell</v>
      </c>
      <c r="Z408" s="175"/>
      <c r="AA408" s="155" t="e">
        <f>IF(R408="-","",INDEX('Inventaire M-1'!$A$2:$AG$9334,MATCH(R408,'Inventaire M-1'!$A:$A,0)-1,MATCH("poids",'Inventaire M-1'!#REF!,0)))</f>
        <v>#REF!</v>
      </c>
      <c r="AB408" s="155" t="str">
        <f>IF(R408="-","",IF(ISERROR(INDEX('Inventaire M'!$A$2:$AD$9319,MATCH(R408,'Inventaire M'!$A:$A,0)-1,MATCH("poids",'Inventaire M'!#REF!,0))),"Sell",INDEX('Inventaire M'!$A$2:$AD$9319,MATCH(R408,'Inventaire M'!$A:$A,0)-1,MATCH("poids",'Inventaire M'!#REF!,0))))</f>
        <v>Sell</v>
      </c>
      <c r="AC408" s="175"/>
      <c r="AD408" s="157" t="str">
        <f t="shared" si="39"/>
        <v>0</v>
      </c>
      <c r="AE408" s="98" t="str">
        <f t="shared" si="40"/>
        <v/>
      </c>
      <c r="AF408" s="80" t="str">
        <f t="shared" si="41"/>
        <v>SNF GROUP SA 4.5 15/03/2032</v>
      </c>
    </row>
    <row r="409" spans="2:32" outlineLevel="1">
      <c r="B409" s="175" t="str">
        <f>IF(OR('Inventaire M'!D187="Dispo/Liquidité Investie",'Inventaire M'!D187="Option/Future",'Inventaire M'!D187="TCN",'Inventaire M'!D187=""),"-",'Inventaire M'!A187)</f>
        <v>XS3134529562</v>
      </c>
      <c r="C409" s="175" t="str">
        <f>IF(OR('Inventaire M'!D187="Dispo/Liquidité Investie",'Inventaire M'!D187="Option/Future",'Inventaire M'!D187="TCN",'Inventaire M'!D187=""),"-",'Inventaire M'!B187)</f>
        <v>ALLWYN ENTERTAINMENT FINANCING (UK 4.125 15/02/2031</v>
      </c>
      <c r="D409" s="175"/>
      <c r="E409" s="175" t="e">
        <f>IF(B409="-","",INDEX('Inventaire M'!$A$2:$AW$9305,MATCH(B409,'Inventaire M'!$A:$A,0)-1,MATCH("Cours EUR",'Inventaire M'!#REF!,0)))</f>
        <v>#REF!</v>
      </c>
      <c r="F409" s="175" t="str">
        <f>IF(B409="-","",IF(ISERROR(INDEX('Inventaire M-1'!$A$2:$AZ$9320,MATCH(B409,'Inventaire M-1'!$A:$A,0)-1,MATCH("Cours EUR",'Inventaire M-1'!#REF!,0))),"Buy",INDEX('Inventaire M-1'!$A$2:$AZ$9320,MATCH(B409,'Inventaire M-1'!$A:$A,0)-1,MATCH("Cours EUR",'Inventaire M-1'!#REF!,0))))</f>
        <v>Buy</v>
      </c>
      <c r="G409" s="175"/>
      <c r="H409" s="156" t="e">
        <f>IF(B409="-","",INDEX('Inventaire M'!$A$2:$AW$9305,MATCH(B409,'Inventaire M'!$A:$A,0)-1,MATCH("quantite",'Inventaire M'!#REF!,0)))</f>
        <v>#REF!</v>
      </c>
      <c r="I409" s="156" t="str">
        <f>IF(C409="-","",IF(ISERROR(INDEX('Inventaire M-1'!$A$2:$AZ$9320,MATCH(B409,'Inventaire M-1'!$A:$A,0)-1,MATCH("quantite",'Inventaire M-1'!#REF!,0))),"Buy",INDEX('Inventaire M-1'!$A$2:$AZ$9320,MATCH(B409,'Inventaire M-1'!$A:$A,0)-1,MATCH("quantite",'Inventaire M-1'!#REF!,0))))</f>
        <v>Buy</v>
      </c>
      <c r="J409" s="175"/>
      <c r="K409" s="155" t="e">
        <f>IF(B409="-","",INDEX('Inventaire M'!$A$2:$AW$9305,MATCH(B409,'Inventaire M'!$A:$A,0)-1,MATCH("poids",'Inventaire M'!#REF!,0)))</f>
        <v>#REF!</v>
      </c>
      <c r="L409" s="155" t="str">
        <f>IF(B409="-","",IF(ISERROR(INDEX('Inventaire M-1'!$A$2:$AZ$9320,MATCH(B409,'Inventaire M-1'!$A:$A,0)-1,MATCH("poids",'Inventaire M-1'!#REF!,0))),"Buy",INDEX('Inventaire M-1'!$A$2:$AZ$9320,MATCH(B409,'Inventaire M-1'!$A:$A,0)-1,MATCH("poids",'Inventaire M-1'!#REF!,0))))</f>
        <v>Buy</v>
      </c>
      <c r="M409" s="175"/>
      <c r="N409" s="157" t="str">
        <f t="shared" si="36"/>
        <v>0</v>
      </c>
      <c r="O409" s="98" t="str">
        <f t="shared" si="37"/>
        <v/>
      </c>
      <c r="P409" s="80" t="str">
        <f t="shared" si="38"/>
        <v>ALLWYN ENTERTAINMENT FINANCING (UK 4.125 15/02/2031</v>
      </c>
      <c r="Q409" s="75">
        <v>3.8500000000000001E-8</v>
      </c>
      <c r="R409" s="175" t="str">
        <f>IF(OR('Inventaire M-1'!D162="Dispo/Liquidité Investie",'Inventaire M-1'!D162="Option/Future",'Inventaire M-1'!D162="TCN",'Inventaire M-1'!D162=""),"-",'Inventaire M-1'!A162)</f>
        <v>XS3023482436</v>
      </c>
      <c r="S409" s="175" t="str">
        <f>IF(OR('Inventaire M-1'!D162="Dispo/Liquidité Investie",'Inventaire M-1'!D162="Option/Future",'Inventaire M-1'!D162="TCN",'Inventaire M-1'!D162=""),"-",'Inventaire M-1'!B162)</f>
        <v>ARAMARK INTERNATIONAL FINANCE SARL 4.375 15/04/2033</v>
      </c>
      <c r="T409" s="175"/>
      <c r="U409" s="175" t="e">
        <f>IF(R409="-","",INDEX('Inventaire M-1'!$A$2:$AG$9334,MATCH(R409,'Inventaire M-1'!$A:$A,0)-1,MATCH("Cours EUR",'Inventaire M-1'!#REF!,0)))</f>
        <v>#REF!</v>
      </c>
      <c r="V409" s="175" t="str">
        <f>IF(R409="-","",IF(ISERROR(INDEX('Inventaire M'!$A$2:$AD$9319,MATCH(R409,'Inventaire M'!$A:$A,0)-1,MATCH("Cours EUR",'Inventaire M'!#REF!,0))),"Sell",INDEX('Inventaire M'!$A$2:$AD$9319,MATCH(R409,'Inventaire M'!$A:$A,0)-1,MATCH("Cours EUR",'Inventaire M'!#REF!,0))))</f>
        <v>Sell</v>
      </c>
      <c r="W409" s="175"/>
      <c r="X409" s="156" t="e">
        <f>IF(R409="-","",INDEX('Inventaire M-1'!$A$2:$AG$9334,MATCH(R409,'Inventaire M-1'!$A:$A,0)-1,MATCH("quantite",'Inventaire M-1'!#REF!,0)))</f>
        <v>#REF!</v>
      </c>
      <c r="Y409" s="156" t="str">
        <f>IF(S409="-","",IF(ISERROR(INDEX('Inventaire M'!$A$2:$AD$9319,MATCH(R409,'Inventaire M'!$A:$A,0)-1,MATCH("quantite",'Inventaire M'!#REF!,0))),"Sell",INDEX('Inventaire M'!$A$2:$AD$9319,MATCH(R409,'Inventaire M'!$A:$A,0)-1,MATCH("quantite",'Inventaire M'!#REF!,0))))</f>
        <v>Sell</v>
      </c>
      <c r="Z409" s="175"/>
      <c r="AA409" s="155" t="e">
        <f>IF(R409="-","",INDEX('Inventaire M-1'!$A$2:$AG$9334,MATCH(R409,'Inventaire M-1'!$A:$A,0)-1,MATCH("poids",'Inventaire M-1'!#REF!,0)))</f>
        <v>#REF!</v>
      </c>
      <c r="AB409" s="155" t="str">
        <f>IF(R409="-","",IF(ISERROR(INDEX('Inventaire M'!$A$2:$AD$9319,MATCH(R409,'Inventaire M'!$A:$A,0)-1,MATCH("poids",'Inventaire M'!#REF!,0))),"Sell",INDEX('Inventaire M'!$A$2:$AD$9319,MATCH(R409,'Inventaire M'!$A:$A,0)-1,MATCH("poids",'Inventaire M'!#REF!,0))))</f>
        <v>Sell</v>
      </c>
      <c r="AC409" s="175"/>
      <c r="AD409" s="157" t="str">
        <f t="shared" si="39"/>
        <v>0</v>
      </c>
      <c r="AE409" s="98" t="str">
        <f t="shared" si="40"/>
        <v/>
      </c>
      <c r="AF409" s="80" t="str">
        <f t="shared" si="41"/>
        <v>ARAMARK INTERNATIONAL FINANCE SARL 4.375 15/04/2033</v>
      </c>
    </row>
    <row r="410" spans="2:32" outlineLevel="1">
      <c r="B410" s="175" t="str">
        <f>IF(OR('Inventaire M'!D188="Dispo/Liquidité Investie",'Inventaire M'!D188="Option/Future",'Inventaire M'!D188="TCN",'Inventaire M'!D188=""),"-",'Inventaire M'!A188)</f>
        <v>XS3134602070</v>
      </c>
      <c r="C410" s="175" t="str">
        <f>IF(OR('Inventaire M'!D188="Dispo/Liquidité Investie",'Inventaire M'!D188="Option/Future",'Inventaire M'!D188="TCN",'Inventaire M'!D188=""),"-",'Inventaire M'!B188)</f>
        <v>BOOTS GROUP FINCO LP 5.375 31/08/2032</v>
      </c>
      <c r="D410" s="175"/>
      <c r="E410" s="175" t="e">
        <f>IF(B410="-","",INDEX('Inventaire M'!$A$2:$AW$9305,MATCH(B410,'Inventaire M'!$A:$A,0)-1,MATCH("Cours EUR",'Inventaire M'!#REF!,0)))</f>
        <v>#REF!</v>
      </c>
      <c r="F410" s="175" t="str">
        <f>IF(B410="-","",IF(ISERROR(INDEX('Inventaire M-1'!$A$2:$AZ$9320,MATCH(B410,'Inventaire M-1'!$A:$A,0)-1,MATCH("Cours EUR",'Inventaire M-1'!#REF!,0))),"Buy",INDEX('Inventaire M-1'!$A$2:$AZ$9320,MATCH(B410,'Inventaire M-1'!$A:$A,0)-1,MATCH("Cours EUR",'Inventaire M-1'!#REF!,0))))</f>
        <v>Buy</v>
      </c>
      <c r="G410" s="175"/>
      <c r="H410" s="156" t="e">
        <f>IF(B410="-","",INDEX('Inventaire M'!$A$2:$AW$9305,MATCH(B410,'Inventaire M'!$A:$A,0)-1,MATCH("quantite",'Inventaire M'!#REF!,0)))</f>
        <v>#REF!</v>
      </c>
      <c r="I410" s="156" t="str">
        <f>IF(C410="-","",IF(ISERROR(INDEX('Inventaire M-1'!$A$2:$AZ$9320,MATCH(B410,'Inventaire M-1'!$A:$A,0)-1,MATCH("quantite",'Inventaire M-1'!#REF!,0))),"Buy",INDEX('Inventaire M-1'!$A$2:$AZ$9320,MATCH(B410,'Inventaire M-1'!$A:$A,0)-1,MATCH("quantite",'Inventaire M-1'!#REF!,0))))</f>
        <v>Buy</v>
      </c>
      <c r="J410" s="175"/>
      <c r="K410" s="155" t="e">
        <f>IF(B410="-","",INDEX('Inventaire M'!$A$2:$AW$9305,MATCH(B410,'Inventaire M'!$A:$A,0)-1,MATCH("poids",'Inventaire M'!#REF!,0)))</f>
        <v>#REF!</v>
      </c>
      <c r="L410" s="155" t="str">
        <f>IF(B410="-","",IF(ISERROR(INDEX('Inventaire M-1'!$A$2:$AZ$9320,MATCH(B410,'Inventaire M-1'!$A:$A,0)-1,MATCH("poids",'Inventaire M-1'!#REF!,0))),"Buy",INDEX('Inventaire M-1'!$A$2:$AZ$9320,MATCH(B410,'Inventaire M-1'!$A:$A,0)-1,MATCH("poids",'Inventaire M-1'!#REF!,0))))</f>
        <v>Buy</v>
      </c>
      <c r="M410" s="175"/>
      <c r="N410" s="157" t="str">
        <f t="shared" ref="N410:N450" si="42">IFERROR(IF(I410="Buy",H410,H410-I410),"0")</f>
        <v>0</v>
      </c>
      <c r="O410" s="98" t="str">
        <f t="shared" ref="O410:O450" si="43">IFERROR(IF(N410&gt;0,IF(L410="Buy",K410,K410-L410)+Q410,""),"")</f>
        <v/>
      </c>
      <c r="P410" s="80" t="str">
        <f t="shared" ref="P410:P450" si="44">C410</f>
        <v>BOOTS GROUP FINCO LP 5.375 31/08/2032</v>
      </c>
      <c r="Q410" s="75">
        <v>3.8600000000000002E-8</v>
      </c>
      <c r="R410" s="175" t="str">
        <f>IF(OR('Inventaire M-1'!D163="Dispo/Liquidité Investie",'Inventaire M-1'!D163="Option/Future",'Inventaire M-1'!D163="TCN",'Inventaire M-1'!D163=""),"-",'Inventaire M-1'!A163)</f>
        <v>XS3023780375</v>
      </c>
      <c r="S410" s="175" t="str">
        <f>IF(OR('Inventaire M-1'!D163="Dispo/Liquidité Investie",'Inventaire M-1'!D163="Option/Future",'Inventaire M-1'!D163="TCN",'Inventaire M-1'!D163=""),"-",'Inventaire M-1'!B163)</f>
        <v>CELANESE US HOLDINGS LLC 5 15/04/2031</v>
      </c>
      <c r="T410" s="175"/>
      <c r="U410" s="175" t="e">
        <f>IF(R410="-","",INDEX('Inventaire M-1'!$A$2:$AG$9334,MATCH(R410,'Inventaire M-1'!$A:$A,0)-1,MATCH("Cours EUR",'Inventaire M-1'!#REF!,0)))</f>
        <v>#REF!</v>
      </c>
      <c r="V410" s="175" t="str">
        <f>IF(R410="-","",IF(ISERROR(INDEX('Inventaire M'!$A$2:$AD$9319,MATCH(R410,'Inventaire M'!$A:$A,0)-1,MATCH("Cours EUR",'Inventaire M'!#REF!,0))),"Sell",INDEX('Inventaire M'!$A$2:$AD$9319,MATCH(R410,'Inventaire M'!$A:$A,0)-1,MATCH("Cours EUR",'Inventaire M'!#REF!,0))))</f>
        <v>Sell</v>
      </c>
      <c r="W410" s="175"/>
      <c r="X410" s="156" t="e">
        <f>IF(R410="-","",INDEX('Inventaire M-1'!$A$2:$AG$9334,MATCH(R410,'Inventaire M-1'!$A:$A,0)-1,MATCH("quantite",'Inventaire M-1'!#REF!,0)))</f>
        <v>#REF!</v>
      </c>
      <c r="Y410" s="156" t="str">
        <f>IF(S410="-","",IF(ISERROR(INDEX('Inventaire M'!$A$2:$AD$9319,MATCH(R410,'Inventaire M'!$A:$A,0)-1,MATCH("quantite",'Inventaire M'!#REF!,0))),"Sell",INDEX('Inventaire M'!$A$2:$AD$9319,MATCH(R410,'Inventaire M'!$A:$A,0)-1,MATCH("quantite",'Inventaire M'!#REF!,0))))</f>
        <v>Sell</v>
      </c>
      <c r="Z410" s="175"/>
      <c r="AA410" s="155" t="e">
        <f>IF(R410="-","",INDEX('Inventaire M-1'!$A$2:$AG$9334,MATCH(R410,'Inventaire M-1'!$A:$A,0)-1,MATCH("poids",'Inventaire M-1'!#REF!,0)))</f>
        <v>#REF!</v>
      </c>
      <c r="AB410" s="155" t="str">
        <f>IF(R410="-","",IF(ISERROR(INDEX('Inventaire M'!$A$2:$AD$9319,MATCH(R410,'Inventaire M'!$A:$A,0)-1,MATCH("poids",'Inventaire M'!#REF!,0))),"Sell",INDEX('Inventaire M'!$A$2:$AD$9319,MATCH(R410,'Inventaire M'!$A:$A,0)-1,MATCH("poids",'Inventaire M'!#REF!,0))))</f>
        <v>Sell</v>
      </c>
      <c r="AC410" s="175"/>
      <c r="AD410" s="157" t="str">
        <f t="shared" ref="AD410:AD419" si="45">IFERROR(IF(Y410="Sell",-X410,Y410-X410),"0")</f>
        <v>0</v>
      </c>
      <c r="AE410" s="98" t="str">
        <f t="shared" ref="AE410:AE419" si="46">IFERROR(IF(AD410&lt;0,IF(AB410="Sell",AA410+10%,AB410-AA410)+Q410,""),"")</f>
        <v/>
      </c>
      <c r="AF410" s="80" t="str">
        <f t="shared" ref="AF410:AF419" si="47">S410</f>
        <v>CELANESE US HOLDINGS LLC 5 15/04/2031</v>
      </c>
    </row>
    <row r="411" spans="2:32" outlineLevel="1">
      <c r="B411" s="175" t="str">
        <f>IF(OR('Inventaire M'!D189="Dispo/Liquidité Investie",'Inventaire M'!D189="Option/Future",'Inventaire M'!D189="TCN",'Inventaire M'!D189=""),"-",'Inventaire M'!A189)</f>
        <v>-</v>
      </c>
      <c r="C411" s="175" t="str">
        <f>IF(OR('Inventaire M'!D189="Dispo/Liquidité Investie",'Inventaire M'!D189="Option/Future",'Inventaire M'!D189="TCN",'Inventaire M'!D189=""),"-",'Inventaire M'!B189)</f>
        <v>-</v>
      </c>
      <c r="D411" s="175"/>
      <c r="E411" s="175" t="str">
        <f>IF(B411="-","",INDEX('Inventaire M'!$A$2:$AW$9305,MATCH(B411,'Inventaire M'!$A:$A,0)-1,MATCH("Cours EUR",'Inventaire M'!#REF!,0)))</f>
        <v/>
      </c>
      <c r="F411" s="175" t="str">
        <f>IF(B411="-","",IF(ISERROR(INDEX('Inventaire M-1'!$A$2:$AZ$9320,MATCH(B411,'Inventaire M-1'!$A:$A,0)-1,MATCH("Cours EUR",'Inventaire M-1'!#REF!,0))),"Buy",INDEX('Inventaire M-1'!$A$2:$AZ$9320,MATCH(B411,'Inventaire M-1'!$A:$A,0)-1,MATCH("Cours EUR",'Inventaire M-1'!#REF!,0))))</f>
        <v/>
      </c>
      <c r="G411" s="175"/>
      <c r="H411" s="156" t="str">
        <f>IF(B411="-","",INDEX('Inventaire M'!$A$2:$AW$9305,MATCH(B411,'Inventaire M'!$A:$A,0)-1,MATCH("quantite",'Inventaire M'!#REF!,0)))</f>
        <v/>
      </c>
      <c r="I411" s="156" t="str">
        <f>IF(C411="-","",IF(ISERROR(INDEX('Inventaire M-1'!$A$2:$AZ$9320,MATCH(B411,'Inventaire M-1'!$A:$A,0)-1,MATCH("quantite",'Inventaire M-1'!#REF!,0))),"Buy",INDEX('Inventaire M-1'!$A$2:$AZ$9320,MATCH(B411,'Inventaire M-1'!$A:$A,0)-1,MATCH("quantite",'Inventaire M-1'!#REF!,0))))</f>
        <v/>
      </c>
      <c r="J411" s="175"/>
      <c r="K411" s="155" t="str">
        <f>IF(B411="-","",INDEX('Inventaire M'!$A$2:$AW$9305,MATCH(B411,'Inventaire M'!$A:$A,0)-1,MATCH("poids",'Inventaire M'!#REF!,0)))</f>
        <v/>
      </c>
      <c r="L411" s="155" t="str">
        <f>IF(B411="-","",IF(ISERROR(INDEX('Inventaire M-1'!$A$2:$AZ$9320,MATCH(B411,'Inventaire M-1'!$A:$A,0)-1,MATCH("poids",'Inventaire M-1'!#REF!,0))),"Buy",INDEX('Inventaire M-1'!$A$2:$AZ$9320,MATCH(B411,'Inventaire M-1'!$A:$A,0)-1,MATCH("poids",'Inventaire M-1'!#REF!,0))))</f>
        <v/>
      </c>
      <c r="M411" s="175"/>
      <c r="N411" s="157" t="str">
        <f t="shared" si="42"/>
        <v>0</v>
      </c>
      <c r="O411" s="98" t="str">
        <f t="shared" si="43"/>
        <v/>
      </c>
      <c r="P411" s="80" t="str">
        <f t="shared" si="44"/>
        <v>-</v>
      </c>
      <c r="Q411" s="75">
        <v>3.8700000000000002E-8</v>
      </c>
      <c r="R411" s="175" t="str">
        <f>IF(OR('Inventaire M-1'!D164="Dispo/Liquidité Investie",'Inventaire M-1'!D164="Option/Future",'Inventaire M-1'!D164="TCN",'Inventaire M-1'!D164=""),"-",'Inventaire M-1'!A164)</f>
        <v>XS3025437982</v>
      </c>
      <c r="S411" s="175" t="str">
        <f>IF(OR('Inventaire M-1'!D164="Dispo/Liquidité Investie",'Inventaire M-1'!D164="Option/Future",'Inventaire M-1'!D164="TCN",'Inventaire M-1'!D164=""),"-",'Inventaire M-1'!B164)</f>
        <v>ALSTRIA OFFICE REIT-AG 5.5 20/03/2031</v>
      </c>
      <c r="T411" s="175"/>
      <c r="U411" s="175" t="e">
        <f>IF(R411="-","",INDEX('Inventaire M-1'!$A$2:$AG$9334,MATCH(R411,'Inventaire M-1'!$A:$A,0)-1,MATCH("Cours EUR",'Inventaire M-1'!#REF!,0)))</f>
        <v>#REF!</v>
      </c>
      <c r="V411" s="175" t="str">
        <f>IF(R411="-","",IF(ISERROR(INDEX('Inventaire M'!$A$2:$AD$9319,MATCH(R411,'Inventaire M'!$A:$A,0)-1,MATCH("Cours EUR",'Inventaire M'!#REF!,0))),"Sell",INDEX('Inventaire M'!$A$2:$AD$9319,MATCH(R411,'Inventaire M'!$A:$A,0)-1,MATCH("Cours EUR",'Inventaire M'!#REF!,0))))</f>
        <v>Sell</v>
      </c>
      <c r="W411" s="175"/>
      <c r="X411" s="156" t="e">
        <f>IF(R411="-","",INDEX('Inventaire M-1'!$A$2:$AG$9334,MATCH(R411,'Inventaire M-1'!$A:$A,0)-1,MATCH("quantite",'Inventaire M-1'!#REF!,0)))</f>
        <v>#REF!</v>
      </c>
      <c r="Y411" s="156" t="str">
        <f>IF(S411="-","",IF(ISERROR(INDEX('Inventaire M'!$A$2:$AD$9319,MATCH(R411,'Inventaire M'!$A:$A,0)-1,MATCH("quantite",'Inventaire M'!#REF!,0))),"Sell",INDEX('Inventaire M'!$A$2:$AD$9319,MATCH(R411,'Inventaire M'!$A:$A,0)-1,MATCH("quantite",'Inventaire M'!#REF!,0))))</f>
        <v>Sell</v>
      </c>
      <c r="Z411" s="175"/>
      <c r="AA411" s="155" t="e">
        <f>IF(R411="-","",INDEX('Inventaire M-1'!$A$2:$AG$9334,MATCH(R411,'Inventaire M-1'!$A:$A,0)-1,MATCH("poids",'Inventaire M-1'!#REF!,0)))</f>
        <v>#REF!</v>
      </c>
      <c r="AB411" s="155" t="str">
        <f>IF(R411="-","",IF(ISERROR(INDEX('Inventaire M'!$A$2:$AD$9319,MATCH(R411,'Inventaire M'!$A:$A,0)-1,MATCH("poids",'Inventaire M'!#REF!,0))),"Sell",INDEX('Inventaire M'!$A$2:$AD$9319,MATCH(R411,'Inventaire M'!$A:$A,0)-1,MATCH("poids",'Inventaire M'!#REF!,0))))</f>
        <v>Sell</v>
      </c>
      <c r="AC411" s="175"/>
      <c r="AD411" s="157" t="str">
        <f t="shared" si="45"/>
        <v>0</v>
      </c>
      <c r="AE411" s="98" t="str">
        <f t="shared" si="46"/>
        <v/>
      </c>
      <c r="AF411" s="80" t="str">
        <f t="shared" si="47"/>
        <v>ALSTRIA OFFICE REIT-AG 5.5 20/03/2031</v>
      </c>
    </row>
    <row r="412" spans="2:32" outlineLevel="1">
      <c r="B412" s="175" t="str">
        <f>IF(OR('Inventaire M'!D190="Dispo/Liquidité Investie",'Inventaire M'!D190="Option/Future",'Inventaire M'!D190="TCN",'Inventaire M'!D190=""),"-",'Inventaire M'!A190)</f>
        <v>-</v>
      </c>
      <c r="C412" s="175" t="str">
        <f>IF(OR('Inventaire M'!D190="Dispo/Liquidité Investie",'Inventaire M'!D190="Option/Future",'Inventaire M'!D190="TCN",'Inventaire M'!D190=""),"-",'Inventaire M'!B190)</f>
        <v>-</v>
      </c>
      <c r="D412" s="175"/>
      <c r="E412" s="175" t="str">
        <f>IF(B412="-","",INDEX('Inventaire M'!$A$2:$AW$9305,MATCH(B412,'Inventaire M'!$A:$A,0)-1,MATCH("Cours EUR",'Inventaire M'!#REF!,0)))</f>
        <v/>
      </c>
      <c r="F412" s="175" t="str">
        <f>IF(B412="-","",IF(ISERROR(INDEX('Inventaire M-1'!$A$2:$AZ$9320,MATCH(B412,'Inventaire M-1'!$A:$A,0)-1,MATCH("Cours EUR",'Inventaire M-1'!#REF!,0))),"Buy",INDEX('Inventaire M-1'!$A$2:$AZ$9320,MATCH(B412,'Inventaire M-1'!$A:$A,0)-1,MATCH("Cours EUR",'Inventaire M-1'!#REF!,0))))</f>
        <v/>
      </c>
      <c r="G412" s="175"/>
      <c r="H412" s="156" t="str">
        <f>IF(B412="-","",INDEX('Inventaire M'!$A$2:$AW$9305,MATCH(B412,'Inventaire M'!$A:$A,0)-1,MATCH("quantite",'Inventaire M'!#REF!,0)))</f>
        <v/>
      </c>
      <c r="I412" s="156" t="str">
        <f>IF(C412="-","",IF(ISERROR(INDEX('Inventaire M-1'!$A$2:$AZ$9320,MATCH(B412,'Inventaire M-1'!$A:$A,0)-1,MATCH("quantite",'Inventaire M-1'!#REF!,0))),"Buy",INDEX('Inventaire M-1'!$A$2:$AZ$9320,MATCH(B412,'Inventaire M-1'!$A:$A,0)-1,MATCH("quantite",'Inventaire M-1'!#REF!,0))))</f>
        <v/>
      </c>
      <c r="J412" s="175"/>
      <c r="K412" s="155" t="str">
        <f>IF(B412="-","",INDEX('Inventaire M'!$A$2:$AW$9305,MATCH(B412,'Inventaire M'!$A:$A,0)-1,MATCH("poids",'Inventaire M'!#REF!,0)))</f>
        <v/>
      </c>
      <c r="L412" s="155" t="str">
        <f>IF(B412="-","",IF(ISERROR(INDEX('Inventaire M-1'!$A$2:$AZ$9320,MATCH(B412,'Inventaire M-1'!$A:$A,0)-1,MATCH("poids",'Inventaire M-1'!#REF!,0))),"Buy",INDEX('Inventaire M-1'!$A$2:$AZ$9320,MATCH(B412,'Inventaire M-1'!$A:$A,0)-1,MATCH("poids",'Inventaire M-1'!#REF!,0))))</f>
        <v/>
      </c>
      <c r="M412" s="175"/>
      <c r="N412" s="157" t="str">
        <f t="shared" si="42"/>
        <v>0</v>
      </c>
      <c r="O412" s="98" t="str">
        <f t="shared" si="43"/>
        <v/>
      </c>
      <c r="P412" s="80" t="str">
        <f t="shared" si="44"/>
        <v>-</v>
      </c>
      <c r="Q412" s="75">
        <v>3.8799999999999997E-8</v>
      </c>
      <c r="R412" s="175" t="str">
        <f>IF(OR('Inventaire M-1'!D165="Dispo/Liquidité Investie",'Inventaire M-1'!D165="Option/Future",'Inventaire M-1'!D165="TCN",'Inventaire M-1'!D165=""),"-",'Inventaire M-1'!A165)</f>
        <v>XS3028067729</v>
      </c>
      <c r="S412" s="175" t="str">
        <f>IF(OR('Inventaire M-1'!D165="Dispo/Liquidité Investie",'Inventaire M-1'!D165="Option/Future",'Inventaire M-1'!D165="TCN",'Inventaire M-1'!D165=""),"-",'Inventaire M-1'!B165)</f>
        <v>EIRCOM FINANCE DAC 5 30/04/2031</v>
      </c>
      <c r="T412" s="175"/>
      <c r="U412" s="175" t="e">
        <f>IF(R412="-","",INDEX('Inventaire M-1'!$A$2:$AG$9334,MATCH(R412,'Inventaire M-1'!$A:$A,0)-1,MATCH("Cours EUR",'Inventaire M-1'!#REF!,0)))</f>
        <v>#REF!</v>
      </c>
      <c r="V412" s="175" t="str">
        <f>IF(R412="-","",IF(ISERROR(INDEX('Inventaire M'!$A$2:$AD$9319,MATCH(R412,'Inventaire M'!$A:$A,0)-1,MATCH("Cours EUR",'Inventaire M'!#REF!,0))),"Sell",INDEX('Inventaire M'!$A$2:$AD$9319,MATCH(R412,'Inventaire M'!$A:$A,0)-1,MATCH("Cours EUR",'Inventaire M'!#REF!,0))))</f>
        <v>Sell</v>
      </c>
      <c r="W412" s="175"/>
      <c r="X412" s="156" t="e">
        <f>IF(R412="-","",INDEX('Inventaire M-1'!$A$2:$AG$9334,MATCH(R412,'Inventaire M-1'!$A:$A,0)-1,MATCH("quantite",'Inventaire M-1'!#REF!,0)))</f>
        <v>#REF!</v>
      </c>
      <c r="Y412" s="156" t="str">
        <f>IF(S412="-","",IF(ISERROR(INDEX('Inventaire M'!$A$2:$AD$9319,MATCH(R412,'Inventaire M'!$A:$A,0)-1,MATCH("quantite",'Inventaire M'!#REF!,0))),"Sell",INDEX('Inventaire M'!$A$2:$AD$9319,MATCH(R412,'Inventaire M'!$A:$A,0)-1,MATCH("quantite",'Inventaire M'!#REF!,0))))</f>
        <v>Sell</v>
      </c>
      <c r="Z412" s="175"/>
      <c r="AA412" s="155" t="e">
        <f>IF(R412="-","",INDEX('Inventaire M-1'!$A$2:$AG$9334,MATCH(R412,'Inventaire M-1'!$A:$A,0)-1,MATCH("poids",'Inventaire M-1'!#REF!,0)))</f>
        <v>#REF!</v>
      </c>
      <c r="AB412" s="155" t="str">
        <f>IF(R412="-","",IF(ISERROR(INDEX('Inventaire M'!$A$2:$AD$9319,MATCH(R412,'Inventaire M'!$A:$A,0)-1,MATCH("poids",'Inventaire M'!#REF!,0))),"Sell",INDEX('Inventaire M'!$A$2:$AD$9319,MATCH(R412,'Inventaire M'!$A:$A,0)-1,MATCH("poids",'Inventaire M'!#REF!,0))))</f>
        <v>Sell</v>
      </c>
      <c r="AC412" s="175"/>
      <c r="AD412" s="157" t="str">
        <f t="shared" si="45"/>
        <v>0</v>
      </c>
      <c r="AE412" s="98" t="str">
        <f t="shared" si="46"/>
        <v/>
      </c>
      <c r="AF412" s="80" t="str">
        <f t="shared" si="47"/>
        <v>EIRCOM FINANCE DAC 5 30/04/2031</v>
      </c>
    </row>
    <row r="413" spans="2:32" outlineLevel="1">
      <c r="B413" s="175" t="str">
        <f>IF(OR('Inventaire M'!D191="Dispo/Liquidité Investie",'Inventaire M'!D191="Option/Future",'Inventaire M'!D191="TCN",'Inventaire M'!D191=""),"-",'Inventaire M'!A191)</f>
        <v>-</v>
      </c>
      <c r="C413" s="175" t="str">
        <f>IF(OR('Inventaire M'!D191="Dispo/Liquidité Investie",'Inventaire M'!D191="Option/Future",'Inventaire M'!D191="TCN",'Inventaire M'!D191=""),"-",'Inventaire M'!B191)</f>
        <v>-</v>
      </c>
      <c r="D413" s="175"/>
      <c r="E413" s="175" t="str">
        <f>IF(B413="-","",INDEX('Inventaire M'!$A$2:$AW$9305,MATCH(B413,'Inventaire M'!$A:$A,0)-1,MATCH("Cours EUR",'Inventaire M'!#REF!,0)))</f>
        <v/>
      </c>
      <c r="F413" s="175" t="str">
        <f>IF(B413="-","",IF(ISERROR(INDEX('Inventaire M-1'!$A$2:$AZ$9320,MATCH(B413,'Inventaire M-1'!$A:$A,0)-1,MATCH("Cours EUR",'Inventaire M-1'!#REF!,0))),"Buy",INDEX('Inventaire M-1'!$A$2:$AZ$9320,MATCH(B413,'Inventaire M-1'!$A:$A,0)-1,MATCH("Cours EUR",'Inventaire M-1'!#REF!,0))))</f>
        <v/>
      </c>
      <c r="G413" s="175"/>
      <c r="H413" s="156" t="str">
        <f>IF(B413="-","",INDEX('Inventaire M'!$A$2:$AW$9305,MATCH(B413,'Inventaire M'!$A:$A,0)-1,MATCH("quantite",'Inventaire M'!#REF!,0)))</f>
        <v/>
      </c>
      <c r="I413" s="156" t="str">
        <f>IF(C413="-","",IF(ISERROR(INDEX('Inventaire M-1'!$A$2:$AZ$9320,MATCH(B413,'Inventaire M-1'!$A:$A,0)-1,MATCH("quantite",'Inventaire M-1'!#REF!,0))),"Buy",INDEX('Inventaire M-1'!$A$2:$AZ$9320,MATCH(B413,'Inventaire M-1'!$A:$A,0)-1,MATCH("quantite",'Inventaire M-1'!#REF!,0))))</f>
        <v/>
      </c>
      <c r="J413" s="175"/>
      <c r="K413" s="155" t="str">
        <f>IF(B413="-","",INDEX('Inventaire M'!$A$2:$AW$9305,MATCH(B413,'Inventaire M'!$A:$A,0)-1,MATCH("poids",'Inventaire M'!#REF!,0)))</f>
        <v/>
      </c>
      <c r="L413" s="155" t="str">
        <f>IF(B413="-","",IF(ISERROR(INDEX('Inventaire M-1'!$A$2:$AZ$9320,MATCH(B413,'Inventaire M-1'!$A:$A,0)-1,MATCH("poids",'Inventaire M-1'!#REF!,0))),"Buy",INDEX('Inventaire M-1'!$A$2:$AZ$9320,MATCH(B413,'Inventaire M-1'!$A:$A,0)-1,MATCH("poids",'Inventaire M-1'!#REF!,0))))</f>
        <v/>
      </c>
      <c r="M413" s="175"/>
      <c r="N413" s="157" t="str">
        <f t="shared" si="42"/>
        <v>0</v>
      </c>
      <c r="O413" s="98" t="str">
        <f t="shared" si="43"/>
        <v/>
      </c>
      <c r="P413" s="80" t="str">
        <f t="shared" si="44"/>
        <v>-</v>
      </c>
      <c r="Q413" s="75">
        <v>3.8899999999999998E-8</v>
      </c>
      <c r="R413" s="175" t="str">
        <f>IF(OR('Inventaire M-1'!D166="Dispo/Liquidité Investie",'Inventaire M-1'!D166="Option/Future",'Inventaire M-1'!D166="TCN",'Inventaire M-1'!D166=""),"-",'Inventaire M-1'!A166)</f>
        <v>XS3037643304</v>
      </c>
      <c r="S413" s="175" t="str">
        <f>IF(OR('Inventaire M-1'!D166="Dispo/Liquidité Investie",'Inventaire M-1'!D166="Option/Future",'Inventaire M-1'!D166="TCN",'Inventaire M-1'!D166=""),"-",'Inventaire M-1'!B166)</f>
        <v>OPAL BIDCO SAS 5.5 31/03/2032</v>
      </c>
      <c r="T413" s="175"/>
      <c r="U413" s="175" t="e">
        <f>IF(R413="-","",INDEX('Inventaire M-1'!$A$2:$AG$9334,MATCH(R413,'Inventaire M-1'!$A:$A,0)-1,MATCH("Cours EUR",'Inventaire M-1'!#REF!,0)))</f>
        <v>#REF!</v>
      </c>
      <c r="V413" s="175" t="str">
        <f>IF(R413="-","",IF(ISERROR(INDEX('Inventaire M'!$A$2:$AD$9319,MATCH(R413,'Inventaire M'!$A:$A,0)-1,MATCH("Cours EUR",'Inventaire M'!#REF!,0))),"Sell",INDEX('Inventaire M'!$A$2:$AD$9319,MATCH(R413,'Inventaire M'!$A:$A,0)-1,MATCH("Cours EUR",'Inventaire M'!#REF!,0))))</f>
        <v>Sell</v>
      </c>
      <c r="W413" s="175"/>
      <c r="X413" s="156" t="e">
        <f>IF(R413="-","",INDEX('Inventaire M-1'!$A$2:$AG$9334,MATCH(R413,'Inventaire M-1'!$A:$A,0)-1,MATCH("quantite",'Inventaire M-1'!#REF!,0)))</f>
        <v>#REF!</v>
      </c>
      <c r="Y413" s="156" t="str">
        <f>IF(S413="-","",IF(ISERROR(INDEX('Inventaire M'!$A$2:$AD$9319,MATCH(R413,'Inventaire M'!$A:$A,0)-1,MATCH("quantite",'Inventaire M'!#REF!,0))),"Sell",INDEX('Inventaire M'!$A$2:$AD$9319,MATCH(R413,'Inventaire M'!$A:$A,0)-1,MATCH("quantite",'Inventaire M'!#REF!,0))))</f>
        <v>Sell</v>
      </c>
      <c r="Z413" s="175"/>
      <c r="AA413" s="155" t="e">
        <f>IF(R413="-","",INDEX('Inventaire M-1'!$A$2:$AG$9334,MATCH(R413,'Inventaire M-1'!$A:$A,0)-1,MATCH("poids",'Inventaire M-1'!#REF!,0)))</f>
        <v>#REF!</v>
      </c>
      <c r="AB413" s="155" t="str">
        <f>IF(R413="-","",IF(ISERROR(INDEX('Inventaire M'!$A$2:$AD$9319,MATCH(R413,'Inventaire M'!$A:$A,0)-1,MATCH("poids",'Inventaire M'!#REF!,0))),"Sell",INDEX('Inventaire M'!$A$2:$AD$9319,MATCH(R413,'Inventaire M'!$A:$A,0)-1,MATCH("poids",'Inventaire M'!#REF!,0))))</f>
        <v>Sell</v>
      </c>
      <c r="AC413" s="175"/>
      <c r="AD413" s="157" t="str">
        <f t="shared" si="45"/>
        <v>0</v>
      </c>
      <c r="AE413" s="98" t="str">
        <f t="shared" si="46"/>
        <v/>
      </c>
      <c r="AF413" s="80" t="str">
        <f t="shared" si="47"/>
        <v>OPAL BIDCO SAS 5.5 31/03/2032</v>
      </c>
    </row>
    <row r="414" spans="2:32" outlineLevel="1">
      <c r="B414" s="175" t="str">
        <f>IF(OR('Inventaire M'!D192="Dispo/Liquidité Investie",'Inventaire M'!D192="Option/Future",'Inventaire M'!D192="TCN",'Inventaire M'!D192=""),"-",'Inventaire M'!A192)</f>
        <v>-</v>
      </c>
      <c r="C414" s="175" t="str">
        <f>IF(OR('Inventaire M'!D192="Dispo/Liquidité Investie",'Inventaire M'!D192="Option/Future",'Inventaire M'!D192="TCN",'Inventaire M'!D192=""),"-",'Inventaire M'!B192)</f>
        <v>-</v>
      </c>
      <c r="D414" s="175"/>
      <c r="E414" s="175" t="str">
        <f>IF(B414="-","",INDEX('Inventaire M'!$A$2:$AW$9305,MATCH(B414,'Inventaire M'!$A:$A,0)-1,MATCH("Cours EUR",'Inventaire M'!#REF!,0)))</f>
        <v/>
      </c>
      <c r="F414" s="175" t="str">
        <f>IF(B414="-","",IF(ISERROR(INDEX('Inventaire M-1'!$A$2:$AZ$9320,MATCH(B414,'Inventaire M-1'!$A:$A,0)-1,MATCH("Cours EUR",'Inventaire M-1'!#REF!,0))),"Buy",INDEX('Inventaire M-1'!$A$2:$AZ$9320,MATCH(B414,'Inventaire M-1'!$A:$A,0)-1,MATCH("Cours EUR",'Inventaire M-1'!#REF!,0))))</f>
        <v/>
      </c>
      <c r="G414" s="175"/>
      <c r="H414" s="156" t="str">
        <f>IF(B414="-","",INDEX('Inventaire M'!$A$2:$AW$9305,MATCH(B414,'Inventaire M'!$A:$A,0)-1,MATCH("quantite",'Inventaire M'!#REF!,0)))</f>
        <v/>
      </c>
      <c r="I414" s="156" t="str">
        <f>IF(C414="-","",IF(ISERROR(INDEX('Inventaire M-1'!$A$2:$AZ$9320,MATCH(B414,'Inventaire M-1'!$A:$A,0)-1,MATCH("quantite",'Inventaire M-1'!#REF!,0))),"Buy",INDEX('Inventaire M-1'!$A$2:$AZ$9320,MATCH(B414,'Inventaire M-1'!$A:$A,0)-1,MATCH("quantite",'Inventaire M-1'!#REF!,0))))</f>
        <v/>
      </c>
      <c r="J414" s="175"/>
      <c r="K414" s="155" t="str">
        <f>IF(B414="-","",INDEX('Inventaire M'!$A$2:$AW$9305,MATCH(B414,'Inventaire M'!$A:$A,0)-1,MATCH("poids",'Inventaire M'!#REF!,0)))</f>
        <v/>
      </c>
      <c r="L414" s="155" t="str">
        <f>IF(B414="-","",IF(ISERROR(INDEX('Inventaire M-1'!$A$2:$AZ$9320,MATCH(B414,'Inventaire M-1'!$A:$A,0)-1,MATCH("poids",'Inventaire M-1'!#REF!,0))),"Buy",INDEX('Inventaire M-1'!$A$2:$AZ$9320,MATCH(B414,'Inventaire M-1'!$A:$A,0)-1,MATCH("poids",'Inventaire M-1'!#REF!,0))))</f>
        <v/>
      </c>
      <c r="M414" s="175"/>
      <c r="N414" s="157" t="str">
        <f t="shared" si="42"/>
        <v>0</v>
      </c>
      <c r="O414" s="98" t="str">
        <f t="shared" si="43"/>
        <v/>
      </c>
      <c r="P414" s="80" t="str">
        <f t="shared" si="44"/>
        <v>-</v>
      </c>
      <c r="Q414" s="75">
        <v>3.8999999999999998E-8</v>
      </c>
      <c r="R414" s="175" t="str">
        <f>IF(OR('Inventaire M-1'!D167="Dispo/Liquidité Investie",'Inventaire M-1'!D167="Option/Future",'Inventaire M-1'!D167="TCN",'Inventaire M-1'!D167=""),"-",'Inventaire M-1'!A167)</f>
        <v>XS3041347637</v>
      </c>
      <c r="S414" s="175" t="str">
        <f>IF(OR('Inventaire M-1'!D167="Dispo/Liquidité Investie",'Inventaire M-1'!D167="Option/Future",'Inventaire M-1'!D167="TCN",'Inventaire M-1'!D167=""),"-",'Inventaire M-1'!B167)</f>
        <v>ITELYUM REGENERATION SPA 5.75 15/04/2030</v>
      </c>
      <c r="T414" s="175"/>
      <c r="U414" s="175" t="e">
        <f>IF(R414="-","",INDEX('Inventaire M-1'!$A$2:$AG$9334,MATCH(R414,'Inventaire M-1'!$A:$A,0)-1,MATCH("Cours EUR",'Inventaire M-1'!#REF!,0)))</f>
        <v>#REF!</v>
      </c>
      <c r="V414" s="175" t="str">
        <f>IF(R414="-","",IF(ISERROR(INDEX('Inventaire M'!$A$2:$AD$9319,MATCH(R414,'Inventaire M'!$A:$A,0)-1,MATCH("Cours EUR",'Inventaire M'!#REF!,0))),"Sell",INDEX('Inventaire M'!$A$2:$AD$9319,MATCH(R414,'Inventaire M'!$A:$A,0)-1,MATCH("Cours EUR",'Inventaire M'!#REF!,0))))</f>
        <v>Sell</v>
      </c>
      <c r="W414" s="175"/>
      <c r="X414" s="156" t="e">
        <f>IF(R414="-","",INDEX('Inventaire M-1'!$A$2:$AG$9334,MATCH(R414,'Inventaire M-1'!$A:$A,0)-1,MATCH("quantite",'Inventaire M-1'!#REF!,0)))</f>
        <v>#REF!</v>
      </c>
      <c r="Y414" s="156" t="str">
        <f>IF(S414="-","",IF(ISERROR(INDEX('Inventaire M'!$A$2:$AD$9319,MATCH(R414,'Inventaire M'!$A:$A,0)-1,MATCH("quantite",'Inventaire M'!#REF!,0))),"Sell",INDEX('Inventaire M'!$A$2:$AD$9319,MATCH(R414,'Inventaire M'!$A:$A,0)-1,MATCH("quantite",'Inventaire M'!#REF!,0))))</f>
        <v>Sell</v>
      </c>
      <c r="Z414" s="175"/>
      <c r="AA414" s="155" t="e">
        <f>IF(R414="-","",INDEX('Inventaire M-1'!$A$2:$AG$9334,MATCH(R414,'Inventaire M-1'!$A:$A,0)-1,MATCH("poids",'Inventaire M-1'!#REF!,0)))</f>
        <v>#REF!</v>
      </c>
      <c r="AB414" s="155" t="str">
        <f>IF(R414="-","",IF(ISERROR(INDEX('Inventaire M'!$A$2:$AD$9319,MATCH(R414,'Inventaire M'!$A:$A,0)-1,MATCH("poids",'Inventaire M'!#REF!,0))),"Sell",INDEX('Inventaire M'!$A$2:$AD$9319,MATCH(R414,'Inventaire M'!$A:$A,0)-1,MATCH("poids",'Inventaire M'!#REF!,0))))</f>
        <v>Sell</v>
      </c>
      <c r="AC414" s="175"/>
      <c r="AD414" s="157" t="str">
        <f t="shared" si="45"/>
        <v>0</v>
      </c>
      <c r="AE414" s="98" t="str">
        <f t="shared" si="46"/>
        <v/>
      </c>
      <c r="AF414" s="80" t="str">
        <f t="shared" si="47"/>
        <v>ITELYUM REGENERATION SPA 5.75 15/04/2030</v>
      </c>
    </row>
    <row r="415" spans="2:32" outlineLevel="1">
      <c r="B415" s="175" t="str">
        <f>IF(OR('Inventaire M'!D193="Dispo/Liquidité Investie",'Inventaire M'!D193="Option/Future",'Inventaire M'!D193="TCN",'Inventaire M'!D193=""),"-",'Inventaire M'!A193)</f>
        <v>-</v>
      </c>
      <c r="C415" s="175" t="str">
        <f>IF(OR('Inventaire M'!D193="Dispo/Liquidité Investie",'Inventaire M'!D193="Option/Future",'Inventaire M'!D193="TCN",'Inventaire M'!D193=""),"-",'Inventaire M'!B193)</f>
        <v>-</v>
      </c>
      <c r="D415" s="175"/>
      <c r="E415" s="175" t="str">
        <f>IF(B415="-","",INDEX('Inventaire M'!$A$2:$AW$9305,MATCH(B415,'Inventaire M'!$A:$A,0)-1,MATCH("Cours EUR",'Inventaire M'!#REF!,0)))</f>
        <v/>
      </c>
      <c r="F415" s="175" t="str">
        <f>IF(B415="-","",IF(ISERROR(INDEX('Inventaire M-1'!$A$2:$AZ$9320,MATCH(B415,'Inventaire M-1'!$A:$A,0)-1,MATCH("Cours EUR",'Inventaire M-1'!#REF!,0))),"Buy",INDEX('Inventaire M-1'!$A$2:$AZ$9320,MATCH(B415,'Inventaire M-1'!$A:$A,0)-1,MATCH("Cours EUR",'Inventaire M-1'!#REF!,0))))</f>
        <v/>
      </c>
      <c r="G415" s="175"/>
      <c r="H415" s="156" t="str">
        <f>IF(B415="-","",INDEX('Inventaire M'!$A$2:$AW$9305,MATCH(B415,'Inventaire M'!$A:$A,0)-1,MATCH("quantite",'Inventaire M'!#REF!,0)))</f>
        <v/>
      </c>
      <c r="I415" s="156" t="str">
        <f>IF(C415="-","",IF(ISERROR(INDEX('Inventaire M-1'!$A$2:$AZ$9320,MATCH(B415,'Inventaire M-1'!$A:$A,0)-1,MATCH("quantite",'Inventaire M-1'!#REF!,0))),"Buy",INDEX('Inventaire M-1'!$A$2:$AZ$9320,MATCH(B415,'Inventaire M-1'!$A:$A,0)-1,MATCH("quantite",'Inventaire M-1'!#REF!,0))))</f>
        <v/>
      </c>
      <c r="J415" s="175"/>
      <c r="K415" s="155" t="str">
        <f>IF(B415="-","",INDEX('Inventaire M'!$A$2:$AW$9305,MATCH(B415,'Inventaire M'!$A:$A,0)-1,MATCH("poids",'Inventaire M'!#REF!,0)))</f>
        <v/>
      </c>
      <c r="L415" s="155" t="str">
        <f>IF(B415="-","",IF(ISERROR(INDEX('Inventaire M-1'!$A$2:$AZ$9320,MATCH(B415,'Inventaire M-1'!$A:$A,0)-1,MATCH("poids",'Inventaire M-1'!#REF!,0))),"Buy",INDEX('Inventaire M-1'!$A$2:$AZ$9320,MATCH(B415,'Inventaire M-1'!$A:$A,0)-1,MATCH("poids",'Inventaire M-1'!#REF!,0))))</f>
        <v/>
      </c>
      <c r="M415" s="175"/>
      <c r="N415" s="157" t="str">
        <f t="shared" si="42"/>
        <v>0</v>
      </c>
      <c r="O415" s="98" t="str">
        <f t="shared" si="43"/>
        <v/>
      </c>
      <c r="P415" s="80" t="str">
        <f t="shared" si="44"/>
        <v>-</v>
      </c>
      <c r="Q415" s="75">
        <v>3.9099999999999999E-8</v>
      </c>
      <c r="R415" s="175" t="str">
        <f>IF(OR('Inventaire M-1'!D168="Dispo/Liquidité Investie",'Inventaire M-1'!D168="Option/Future",'Inventaire M-1'!D168="TCN",'Inventaire M-1'!D168=""),"-",'Inventaire M-1'!A168)</f>
        <v>XS3045391607</v>
      </c>
      <c r="S415" s="175" t="str">
        <f>IF(OR('Inventaire M-1'!D168="Dispo/Liquidité Investie",'Inventaire M-1'!D168="Option/Future",'Inventaire M-1'!D168="TCN",'Inventaire M-1'!D168=""),"-",'Inventaire M-1'!B168)</f>
        <v>CENTRIENT HOLDING BV 6.75 30/05/2030</v>
      </c>
      <c r="T415" s="175"/>
      <c r="U415" s="175" t="e">
        <f>IF(R415="-","",INDEX('Inventaire M-1'!$A$2:$AG$9334,MATCH(R415,'Inventaire M-1'!$A:$A,0)-1,MATCH("Cours EUR",'Inventaire M-1'!#REF!,0)))</f>
        <v>#REF!</v>
      </c>
      <c r="V415" s="175" t="str">
        <f>IF(R415="-","",IF(ISERROR(INDEX('Inventaire M'!$A$2:$AD$9319,MATCH(R415,'Inventaire M'!$A:$A,0)-1,MATCH("Cours EUR",'Inventaire M'!#REF!,0))),"Sell",INDEX('Inventaire M'!$A$2:$AD$9319,MATCH(R415,'Inventaire M'!$A:$A,0)-1,MATCH("Cours EUR",'Inventaire M'!#REF!,0))))</f>
        <v>Sell</v>
      </c>
      <c r="W415" s="175"/>
      <c r="X415" s="156" t="e">
        <f>IF(R415="-","",INDEX('Inventaire M-1'!$A$2:$AG$9334,MATCH(R415,'Inventaire M-1'!$A:$A,0)-1,MATCH("quantite",'Inventaire M-1'!#REF!,0)))</f>
        <v>#REF!</v>
      </c>
      <c r="Y415" s="156" t="str">
        <f>IF(S415="-","",IF(ISERROR(INDEX('Inventaire M'!$A$2:$AD$9319,MATCH(R415,'Inventaire M'!$A:$A,0)-1,MATCH("quantite",'Inventaire M'!#REF!,0))),"Sell",INDEX('Inventaire M'!$A$2:$AD$9319,MATCH(R415,'Inventaire M'!$A:$A,0)-1,MATCH("quantite",'Inventaire M'!#REF!,0))))</f>
        <v>Sell</v>
      </c>
      <c r="Z415" s="175"/>
      <c r="AA415" s="155" t="e">
        <f>IF(R415="-","",INDEX('Inventaire M-1'!$A$2:$AG$9334,MATCH(R415,'Inventaire M-1'!$A:$A,0)-1,MATCH("poids",'Inventaire M-1'!#REF!,0)))</f>
        <v>#REF!</v>
      </c>
      <c r="AB415" s="155" t="str">
        <f>IF(R415="-","",IF(ISERROR(INDEX('Inventaire M'!$A$2:$AD$9319,MATCH(R415,'Inventaire M'!$A:$A,0)-1,MATCH("poids",'Inventaire M'!#REF!,0))),"Sell",INDEX('Inventaire M'!$A$2:$AD$9319,MATCH(R415,'Inventaire M'!$A:$A,0)-1,MATCH("poids",'Inventaire M'!#REF!,0))))</f>
        <v>Sell</v>
      </c>
      <c r="AC415" s="175"/>
      <c r="AD415" s="157" t="str">
        <f t="shared" si="45"/>
        <v>0</v>
      </c>
      <c r="AE415" s="98" t="str">
        <f t="shared" si="46"/>
        <v/>
      </c>
      <c r="AF415" s="80" t="str">
        <f t="shared" si="47"/>
        <v>CENTRIENT HOLDING BV 6.75 30/05/2030</v>
      </c>
    </row>
    <row r="416" spans="2:32" outlineLevel="1">
      <c r="B416" s="175" t="str">
        <f>IF(OR('Inventaire M'!D194="Dispo/Liquidité Investie",'Inventaire M'!D194="Option/Future",'Inventaire M'!D194="TCN",'Inventaire M'!D194=""),"-",'Inventaire M'!A194)</f>
        <v>-</v>
      </c>
      <c r="C416" s="175" t="str">
        <f>IF(OR('Inventaire M'!D194="Dispo/Liquidité Investie",'Inventaire M'!D194="Option/Future",'Inventaire M'!D194="TCN",'Inventaire M'!D194=""),"-",'Inventaire M'!B194)</f>
        <v>-</v>
      </c>
      <c r="D416" s="175"/>
      <c r="E416" s="175" t="str">
        <f>IF(B416="-","",INDEX('Inventaire M'!$A$2:$AW$9305,MATCH(B416,'Inventaire M'!$A:$A,0)-1,MATCH("Cours EUR",'Inventaire M'!#REF!,0)))</f>
        <v/>
      </c>
      <c r="F416" s="175" t="str">
        <f>IF(B416="-","",IF(ISERROR(INDEX('Inventaire M-1'!$A$2:$AZ$9320,MATCH(B416,'Inventaire M-1'!$A:$A,0)-1,MATCH("Cours EUR",'Inventaire M-1'!#REF!,0))),"Buy",INDEX('Inventaire M-1'!$A$2:$AZ$9320,MATCH(B416,'Inventaire M-1'!$A:$A,0)-1,MATCH("Cours EUR",'Inventaire M-1'!#REF!,0))))</f>
        <v/>
      </c>
      <c r="G416" s="175"/>
      <c r="H416" s="156" t="str">
        <f>IF(B416="-","",INDEX('Inventaire M'!$A$2:$AW$9305,MATCH(B416,'Inventaire M'!$A:$A,0)-1,MATCH("quantite",'Inventaire M'!#REF!,0)))</f>
        <v/>
      </c>
      <c r="I416" s="156" t="str">
        <f>IF(C416="-","",IF(ISERROR(INDEX('Inventaire M-1'!$A$2:$AZ$9320,MATCH(B416,'Inventaire M-1'!$A:$A,0)-1,MATCH("quantite",'Inventaire M-1'!#REF!,0))),"Buy",INDEX('Inventaire M-1'!$A$2:$AZ$9320,MATCH(B416,'Inventaire M-1'!$A:$A,0)-1,MATCH("quantite",'Inventaire M-1'!#REF!,0))))</f>
        <v/>
      </c>
      <c r="J416" s="175"/>
      <c r="K416" s="155" t="str">
        <f>IF(B416="-","",INDEX('Inventaire M'!$A$2:$AW$9305,MATCH(B416,'Inventaire M'!$A:$A,0)-1,MATCH("poids",'Inventaire M'!#REF!,0)))</f>
        <v/>
      </c>
      <c r="L416" s="155" t="str">
        <f>IF(B416="-","",IF(ISERROR(INDEX('Inventaire M-1'!$A$2:$AZ$9320,MATCH(B416,'Inventaire M-1'!$A:$A,0)-1,MATCH("poids",'Inventaire M-1'!#REF!,0))),"Buy",INDEX('Inventaire M-1'!$A$2:$AZ$9320,MATCH(B416,'Inventaire M-1'!$A:$A,0)-1,MATCH("poids",'Inventaire M-1'!#REF!,0))))</f>
        <v/>
      </c>
      <c r="M416" s="175"/>
      <c r="N416" s="157" t="str">
        <f t="shared" si="42"/>
        <v>0</v>
      </c>
      <c r="O416" s="98" t="str">
        <f t="shared" si="43"/>
        <v/>
      </c>
      <c r="P416" s="80" t="str">
        <f t="shared" si="44"/>
        <v>-</v>
      </c>
      <c r="Q416" s="75">
        <v>3.92E-8</v>
      </c>
      <c r="R416" s="175" t="str">
        <f>IF(OR('Inventaire M-1'!D169="Dispo/Liquidité Investie",'Inventaire M-1'!D169="Option/Future",'Inventaire M-1'!D169="TCN",'Inventaire M-1'!D169=""),"-",'Inventaire M-1'!A169)</f>
        <v>XS3046352319</v>
      </c>
      <c r="S416" s="175" t="str">
        <f>IF(OR('Inventaire M-1'!D169="Dispo/Liquidité Investie",'Inventaire M-1'!D169="Option/Future",'Inventaire M-1'!D169="TCN",'Inventaire M-1'!D169=""),"-",'Inventaire M-1'!B169)</f>
        <v>CIDRON AIDA FINCO SARL 7 27/10/2031</v>
      </c>
      <c r="T416" s="175"/>
      <c r="U416" s="175" t="e">
        <f>IF(R416="-","",INDEX('Inventaire M-1'!$A$2:$AG$9334,MATCH(R416,'Inventaire M-1'!$A:$A,0)-1,MATCH("Cours EUR",'Inventaire M-1'!#REF!,0)))</f>
        <v>#REF!</v>
      </c>
      <c r="V416" s="175" t="str">
        <f>IF(R416="-","",IF(ISERROR(INDEX('Inventaire M'!$A$2:$AD$9319,MATCH(R416,'Inventaire M'!$A:$A,0)-1,MATCH("Cours EUR",'Inventaire M'!#REF!,0))),"Sell",INDEX('Inventaire M'!$A$2:$AD$9319,MATCH(R416,'Inventaire M'!$A:$A,0)-1,MATCH("Cours EUR",'Inventaire M'!#REF!,0))))</f>
        <v>Sell</v>
      </c>
      <c r="W416" s="175"/>
      <c r="X416" s="156" t="e">
        <f>IF(R416="-","",INDEX('Inventaire M-1'!$A$2:$AG$9334,MATCH(R416,'Inventaire M-1'!$A:$A,0)-1,MATCH("quantite",'Inventaire M-1'!#REF!,0)))</f>
        <v>#REF!</v>
      </c>
      <c r="Y416" s="156" t="str">
        <f>IF(S416="-","",IF(ISERROR(INDEX('Inventaire M'!$A$2:$AD$9319,MATCH(R416,'Inventaire M'!$A:$A,0)-1,MATCH("quantite",'Inventaire M'!#REF!,0))),"Sell",INDEX('Inventaire M'!$A$2:$AD$9319,MATCH(R416,'Inventaire M'!$A:$A,0)-1,MATCH("quantite",'Inventaire M'!#REF!,0))))</f>
        <v>Sell</v>
      </c>
      <c r="Z416" s="175"/>
      <c r="AA416" s="155" t="e">
        <f>IF(R416="-","",INDEX('Inventaire M-1'!$A$2:$AG$9334,MATCH(R416,'Inventaire M-1'!$A:$A,0)-1,MATCH("poids",'Inventaire M-1'!#REF!,0)))</f>
        <v>#REF!</v>
      </c>
      <c r="AB416" s="155" t="str">
        <f>IF(R416="-","",IF(ISERROR(INDEX('Inventaire M'!$A$2:$AD$9319,MATCH(R416,'Inventaire M'!$A:$A,0)-1,MATCH("poids",'Inventaire M'!#REF!,0))),"Sell",INDEX('Inventaire M'!$A$2:$AD$9319,MATCH(R416,'Inventaire M'!$A:$A,0)-1,MATCH("poids",'Inventaire M'!#REF!,0))))</f>
        <v>Sell</v>
      </c>
      <c r="AC416" s="175"/>
      <c r="AD416" s="157" t="str">
        <f t="shared" si="45"/>
        <v>0</v>
      </c>
      <c r="AE416" s="98" t="str">
        <f t="shared" si="46"/>
        <v/>
      </c>
      <c r="AF416" s="80" t="str">
        <f t="shared" si="47"/>
        <v>CIDRON AIDA FINCO SARL 7 27/10/2031</v>
      </c>
    </row>
    <row r="417" spans="2:32" outlineLevel="1">
      <c r="B417" s="175" t="str">
        <f>IF(OR('Inventaire M'!D195="Dispo/Liquidité Investie",'Inventaire M'!D195="Option/Future",'Inventaire M'!D195="TCN",'Inventaire M'!D195=""),"-",'Inventaire M'!A195)</f>
        <v>-</v>
      </c>
      <c r="C417" s="175" t="str">
        <f>IF(OR('Inventaire M'!D195="Dispo/Liquidité Investie",'Inventaire M'!D195="Option/Future",'Inventaire M'!D195="TCN",'Inventaire M'!D195=""),"-",'Inventaire M'!B195)</f>
        <v>-</v>
      </c>
      <c r="D417" s="175"/>
      <c r="E417" s="175" t="str">
        <f>IF(B417="-","",INDEX('Inventaire M'!$A$2:$AW$9305,MATCH(B417,'Inventaire M'!$A:$A,0)-1,MATCH("Cours EUR",'Inventaire M'!#REF!,0)))</f>
        <v/>
      </c>
      <c r="F417" s="175" t="str">
        <f>IF(B417="-","",IF(ISERROR(INDEX('Inventaire M-1'!$A$2:$AZ$9320,MATCH(B417,'Inventaire M-1'!$A:$A,0)-1,MATCH("Cours EUR",'Inventaire M-1'!#REF!,0))),"Buy",INDEX('Inventaire M-1'!$A$2:$AZ$9320,MATCH(B417,'Inventaire M-1'!$A:$A,0)-1,MATCH("Cours EUR",'Inventaire M-1'!#REF!,0))))</f>
        <v/>
      </c>
      <c r="G417" s="175"/>
      <c r="H417" s="156" t="str">
        <f>IF(B417="-","",INDEX('Inventaire M'!$A$2:$AW$9305,MATCH(B417,'Inventaire M'!$A:$A,0)-1,MATCH("quantite",'Inventaire M'!#REF!,0)))</f>
        <v/>
      </c>
      <c r="I417" s="156" t="str">
        <f>IF(C417="-","",IF(ISERROR(INDEX('Inventaire M-1'!$A$2:$AZ$9320,MATCH(B417,'Inventaire M-1'!$A:$A,0)-1,MATCH("quantite",'Inventaire M-1'!#REF!,0))),"Buy",INDEX('Inventaire M-1'!$A$2:$AZ$9320,MATCH(B417,'Inventaire M-1'!$A:$A,0)-1,MATCH("quantite",'Inventaire M-1'!#REF!,0))))</f>
        <v/>
      </c>
      <c r="J417" s="175"/>
      <c r="K417" s="155" t="str">
        <f>IF(B417="-","",INDEX('Inventaire M'!$A$2:$AW$9305,MATCH(B417,'Inventaire M'!$A:$A,0)-1,MATCH("poids",'Inventaire M'!#REF!,0)))</f>
        <v/>
      </c>
      <c r="L417" s="155" t="str">
        <f>IF(B417="-","",IF(ISERROR(INDEX('Inventaire M-1'!$A$2:$AZ$9320,MATCH(B417,'Inventaire M-1'!$A:$A,0)-1,MATCH("poids",'Inventaire M-1'!#REF!,0))),"Buy",INDEX('Inventaire M-1'!$A$2:$AZ$9320,MATCH(B417,'Inventaire M-1'!$A:$A,0)-1,MATCH("poids",'Inventaire M-1'!#REF!,0))))</f>
        <v/>
      </c>
      <c r="M417" s="175"/>
      <c r="N417" s="157" t="str">
        <f t="shared" si="42"/>
        <v>0</v>
      </c>
      <c r="O417" s="98" t="str">
        <f t="shared" si="43"/>
        <v/>
      </c>
      <c r="P417" s="80" t="str">
        <f t="shared" si="44"/>
        <v>-</v>
      </c>
      <c r="Q417" s="75">
        <v>3.9300000000000001E-8</v>
      </c>
      <c r="R417" s="175" t="str">
        <f>IF(OR('Inventaire M-1'!D170="Dispo/Liquidité Investie",'Inventaire M-1'!D170="Option/Future",'Inventaire M-1'!D170="TCN",'Inventaire M-1'!D170=""),"-",'Inventaire M-1'!A170)</f>
        <v>XS3047452316</v>
      </c>
      <c r="S417" s="175" t="str">
        <f>IF(OR('Inventaire M-1'!D170="Dispo/Liquidité Investie",'Inventaire M-1'!D170="Option/Future",'Inventaire M-1'!D170="TCN",'Inventaire M-1'!D170=""),"-",'Inventaire M-1'!B170)</f>
        <v>LOTTOMATICA GROUP SPA 4.875 31/01/2031</v>
      </c>
      <c r="T417" s="175"/>
      <c r="U417" s="175" t="e">
        <f>IF(R417="-","",INDEX('Inventaire M-1'!$A$2:$AG$9334,MATCH(R417,'Inventaire M-1'!$A:$A,0)-1,MATCH("Cours EUR",'Inventaire M-1'!#REF!,0)))</f>
        <v>#REF!</v>
      </c>
      <c r="V417" s="175" t="str">
        <f>IF(R417="-","",IF(ISERROR(INDEX('Inventaire M'!$A$2:$AD$9319,MATCH(R417,'Inventaire M'!$A:$A,0)-1,MATCH("Cours EUR",'Inventaire M'!#REF!,0))),"Sell",INDEX('Inventaire M'!$A$2:$AD$9319,MATCH(R417,'Inventaire M'!$A:$A,0)-1,MATCH("Cours EUR",'Inventaire M'!#REF!,0))))</f>
        <v>Sell</v>
      </c>
      <c r="W417" s="175"/>
      <c r="X417" s="156" t="e">
        <f>IF(R417="-","",INDEX('Inventaire M-1'!$A$2:$AG$9334,MATCH(R417,'Inventaire M-1'!$A:$A,0)-1,MATCH("quantite",'Inventaire M-1'!#REF!,0)))</f>
        <v>#REF!</v>
      </c>
      <c r="Y417" s="156" t="str">
        <f>IF(S417="-","",IF(ISERROR(INDEX('Inventaire M'!$A$2:$AD$9319,MATCH(R417,'Inventaire M'!$A:$A,0)-1,MATCH("quantite",'Inventaire M'!#REF!,0))),"Sell",INDEX('Inventaire M'!$A$2:$AD$9319,MATCH(R417,'Inventaire M'!$A:$A,0)-1,MATCH("quantite",'Inventaire M'!#REF!,0))))</f>
        <v>Sell</v>
      </c>
      <c r="Z417" s="175"/>
      <c r="AA417" s="155" t="e">
        <f>IF(R417="-","",INDEX('Inventaire M-1'!$A$2:$AG$9334,MATCH(R417,'Inventaire M-1'!$A:$A,0)-1,MATCH("poids",'Inventaire M-1'!#REF!,0)))</f>
        <v>#REF!</v>
      </c>
      <c r="AB417" s="155" t="str">
        <f>IF(R417="-","",IF(ISERROR(INDEX('Inventaire M'!$A$2:$AD$9319,MATCH(R417,'Inventaire M'!$A:$A,0)-1,MATCH("poids",'Inventaire M'!#REF!,0))),"Sell",INDEX('Inventaire M'!$A$2:$AD$9319,MATCH(R417,'Inventaire M'!$A:$A,0)-1,MATCH("poids",'Inventaire M'!#REF!,0))))</f>
        <v>Sell</v>
      </c>
      <c r="AC417" s="175"/>
      <c r="AD417" s="157" t="str">
        <f t="shared" si="45"/>
        <v>0</v>
      </c>
      <c r="AE417" s="98" t="str">
        <f t="shared" si="46"/>
        <v/>
      </c>
      <c r="AF417" s="80" t="str">
        <f t="shared" si="47"/>
        <v>LOTTOMATICA GROUP SPA 4.875 31/01/2031</v>
      </c>
    </row>
    <row r="418" spans="2:32" outlineLevel="1">
      <c r="B418" s="175" t="str">
        <f>IF(OR('Inventaire M'!D196="Dispo/Liquidité Investie",'Inventaire M'!D196="Option/Future",'Inventaire M'!D196="TCN",'Inventaire M'!D196=""),"-",'Inventaire M'!A196)</f>
        <v>-</v>
      </c>
      <c r="C418" s="175" t="str">
        <f>IF(OR('Inventaire M'!D196="Dispo/Liquidité Investie",'Inventaire M'!D196="Option/Future",'Inventaire M'!D196="TCN",'Inventaire M'!D196=""),"-",'Inventaire M'!B196)</f>
        <v>-</v>
      </c>
      <c r="D418" s="175"/>
      <c r="E418" s="175" t="str">
        <f>IF(B418="-","",INDEX('Inventaire M'!$A$2:$AW$9305,MATCH(B418,'Inventaire M'!$A:$A,0)-1,MATCH("Cours EUR",'Inventaire M'!#REF!,0)))</f>
        <v/>
      </c>
      <c r="F418" s="175" t="str">
        <f>IF(B418="-","",IF(ISERROR(INDEX('Inventaire M-1'!$A$2:$AZ$9320,MATCH(B418,'Inventaire M-1'!$A:$A,0)-1,MATCH("Cours EUR",'Inventaire M-1'!#REF!,0))),"Buy",INDEX('Inventaire M-1'!$A$2:$AZ$9320,MATCH(B418,'Inventaire M-1'!$A:$A,0)-1,MATCH("Cours EUR",'Inventaire M-1'!#REF!,0))))</f>
        <v/>
      </c>
      <c r="G418" s="175"/>
      <c r="H418" s="156" t="str">
        <f>IF(B418="-","",INDEX('Inventaire M'!$A$2:$AW$9305,MATCH(B418,'Inventaire M'!$A:$A,0)-1,MATCH("quantite",'Inventaire M'!#REF!,0)))</f>
        <v/>
      </c>
      <c r="I418" s="156" t="str">
        <f>IF(C418="-","",IF(ISERROR(INDEX('Inventaire M-1'!$A$2:$AZ$9320,MATCH(B418,'Inventaire M-1'!$A:$A,0)-1,MATCH("quantite",'Inventaire M-1'!#REF!,0))),"Buy",INDEX('Inventaire M-1'!$A$2:$AZ$9320,MATCH(B418,'Inventaire M-1'!$A:$A,0)-1,MATCH("quantite",'Inventaire M-1'!#REF!,0))))</f>
        <v/>
      </c>
      <c r="J418" s="175"/>
      <c r="K418" s="155" t="str">
        <f>IF(B418="-","",INDEX('Inventaire M'!$A$2:$AW$9305,MATCH(B418,'Inventaire M'!$A:$A,0)-1,MATCH("poids",'Inventaire M'!#REF!,0)))</f>
        <v/>
      </c>
      <c r="L418" s="155" t="str">
        <f>IF(B418="-","",IF(ISERROR(INDEX('Inventaire M-1'!$A$2:$AZ$9320,MATCH(B418,'Inventaire M-1'!$A:$A,0)-1,MATCH("poids",'Inventaire M-1'!#REF!,0))),"Buy",INDEX('Inventaire M-1'!$A$2:$AZ$9320,MATCH(B418,'Inventaire M-1'!$A:$A,0)-1,MATCH("poids",'Inventaire M-1'!#REF!,0))))</f>
        <v/>
      </c>
      <c r="M418" s="175"/>
      <c r="N418" s="157" t="str">
        <f t="shared" si="42"/>
        <v>0</v>
      </c>
      <c r="O418" s="98" t="str">
        <f t="shared" si="43"/>
        <v/>
      </c>
      <c r="P418" s="80" t="str">
        <f t="shared" si="44"/>
        <v>-</v>
      </c>
      <c r="Q418" s="75">
        <v>3.9400000000000002E-8</v>
      </c>
      <c r="R418" s="175" t="str">
        <f>IF(OR('Inventaire M-1'!D171="Dispo/Liquidité Investie",'Inventaire M-1'!D171="Option/Future",'Inventaire M-1'!D171="TCN",'Inventaire M-1'!D171=""),"-",'Inventaire M-1'!A171)</f>
        <v>XS3049411971</v>
      </c>
      <c r="S418" s="175" t="str">
        <f>IF(OR('Inventaire M-1'!D171="Dispo/Liquidité Investie",'Inventaire M-1'!D171="Option/Future",'Inventaire M-1'!D171="TCN",'Inventaire M-1'!D171=""),"-",'Inventaire M-1'!B171)</f>
        <v>LHMC FINCO 2 SARL 8.625 15/05/2030</v>
      </c>
      <c r="T418" s="175"/>
      <c r="U418" s="175" t="e">
        <f>IF(R418="-","",INDEX('Inventaire M-1'!$A$2:$AG$9334,MATCH(R418,'Inventaire M-1'!$A:$A,0)-1,MATCH("Cours EUR",'Inventaire M-1'!#REF!,0)))</f>
        <v>#REF!</v>
      </c>
      <c r="V418" s="175" t="str">
        <f>IF(R418="-","",IF(ISERROR(INDEX('Inventaire M'!$A$2:$AD$9319,MATCH(R418,'Inventaire M'!$A:$A,0)-1,MATCH("Cours EUR",'Inventaire M'!#REF!,0))),"Sell",INDEX('Inventaire M'!$A$2:$AD$9319,MATCH(R418,'Inventaire M'!$A:$A,0)-1,MATCH("Cours EUR",'Inventaire M'!#REF!,0))))</f>
        <v>Sell</v>
      </c>
      <c r="W418" s="175"/>
      <c r="X418" s="156" t="e">
        <f>IF(R418="-","",INDEX('Inventaire M-1'!$A$2:$AG$9334,MATCH(R418,'Inventaire M-1'!$A:$A,0)-1,MATCH("quantite",'Inventaire M-1'!#REF!,0)))</f>
        <v>#REF!</v>
      </c>
      <c r="Y418" s="156" t="str">
        <f>IF(S418="-","",IF(ISERROR(INDEX('Inventaire M'!$A$2:$AD$9319,MATCH(R418,'Inventaire M'!$A:$A,0)-1,MATCH("quantite",'Inventaire M'!#REF!,0))),"Sell",INDEX('Inventaire M'!$A$2:$AD$9319,MATCH(R418,'Inventaire M'!$A:$A,0)-1,MATCH("quantite",'Inventaire M'!#REF!,0))))</f>
        <v>Sell</v>
      </c>
      <c r="Z418" s="175"/>
      <c r="AA418" s="155" t="e">
        <f>IF(R418="-","",INDEX('Inventaire M-1'!$A$2:$AG$9334,MATCH(R418,'Inventaire M-1'!$A:$A,0)-1,MATCH("poids",'Inventaire M-1'!#REF!,0)))</f>
        <v>#REF!</v>
      </c>
      <c r="AB418" s="155" t="str">
        <f>IF(R418="-","",IF(ISERROR(INDEX('Inventaire M'!$A$2:$AD$9319,MATCH(R418,'Inventaire M'!$A:$A,0)-1,MATCH("poids",'Inventaire M'!#REF!,0))),"Sell",INDEX('Inventaire M'!$A$2:$AD$9319,MATCH(R418,'Inventaire M'!$A:$A,0)-1,MATCH("poids",'Inventaire M'!#REF!,0))))</f>
        <v>Sell</v>
      </c>
      <c r="AC418" s="175"/>
      <c r="AD418" s="157" t="str">
        <f t="shared" si="45"/>
        <v>0</v>
      </c>
      <c r="AE418" s="98" t="str">
        <f t="shared" si="46"/>
        <v/>
      </c>
      <c r="AF418" s="80" t="str">
        <f t="shared" si="47"/>
        <v>LHMC FINCO 2 SARL 8.625 15/05/2030</v>
      </c>
    </row>
    <row r="419" spans="2:32" outlineLevel="1">
      <c r="B419" s="175" t="str">
        <f>IF(OR('Inventaire M'!D197="Dispo/Liquidité Investie",'Inventaire M'!D197="Option/Future",'Inventaire M'!D197="TCN",'Inventaire M'!D197=""),"-",'Inventaire M'!A197)</f>
        <v>-</v>
      </c>
      <c r="C419" s="175" t="str">
        <f>IF(OR('Inventaire M'!D197="Dispo/Liquidité Investie",'Inventaire M'!D197="Option/Future",'Inventaire M'!D197="TCN",'Inventaire M'!D197=""),"-",'Inventaire M'!B197)</f>
        <v>-</v>
      </c>
      <c r="D419" s="175"/>
      <c r="E419" s="175" t="str">
        <f>IF(B419="-","",INDEX('Inventaire M'!$A$2:$AW$9305,MATCH(B419,'Inventaire M'!$A:$A,0)-1,MATCH("Cours EUR",'Inventaire M'!#REF!,0)))</f>
        <v/>
      </c>
      <c r="F419" s="175" t="str">
        <f>IF(B419="-","",IF(ISERROR(INDEX('Inventaire M-1'!$A$2:$AZ$9320,MATCH(B419,'Inventaire M-1'!$A:$A,0)-1,MATCH("Cours EUR",'Inventaire M-1'!#REF!,0))),"Buy",INDEX('Inventaire M-1'!$A$2:$AZ$9320,MATCH(B419,'Inventaire M-1'!$A:$A,0)-1,MATCH("Cours EUR",'Inventaire M-1'!#REF!,0))))</f>
        <v/>
      </c>
      <c r="G419" s="175"/>
      <c r="H419" s="156" t="str">
        <f>IF(B419="-","",INDEX('Inventaire M'!$A$2:$AW$9305,MATCH(B419,'Inventaire M'!$A:$A,0)-1,MATCH("quantite",'Inventaire M'!#REF!,0)))</f>
        <v/>
      </c>
      <c r="I419" s="156" t="str">
        <f>IF(C419="-","",IF(ISERROR(INDEX('Inventaire M-1'!$A$2:$AZ$9320,MATCH(B419,'Inventaire M-1'!$A:$A,0)-1,MATCH("quantite",'Inventaire M-1'!#REF!,0))),"Buy",INDEX('Inventaire M-1'!$A$2:$AZ$9320,MATCH(B419,'Inventaire M-1'!$A:$A,0)-1,MATCH("quantite",'Inventaire M-1'!#REF!,0))))</f>
        <v/>
      </c>
      <c r="J419" s="175"/>
      <c r="K419" s="155" t="str">
        <f>IF(B419="-","",INDEX('Inventaire M'!$A$2:$AW$9305,MATCH(B419,'Inventaire M'!$A:$A,0)-1,MATCH("poids",'Inventaire M'!#REF!,0)))</f>
        <v/>
      </c>
      <c r="L419" s="155" t="str">
        <f>IF(B419="-","",IF(ISERROR(INDEX('Inventaire M-1'!$A$2:$AZ$9320,MATCH(B419,'Inventaire M-1'!$A:$A,0)-1,MATCH("poids",'Inventaire M-1'!#REF!,0))),"Buy",INDEX('Inventaire M-1'!$A$2:$AZ$9320,MATCH(B419,'Inventaire M-1'!$A:$A,0)-1,MATCH("poids",'Inventaire M-1'!#REF!,0))))</f>
        <v/>
      </c>
      <c r="M419" s="175"/>
      <c r="N419" s="157" t="str">
        <f t="shared" si="42"/>
        <v>0</v>
      </c>
      <c r="O419" s="98" t="str">
        <f t="shared" si="43"/>
        <v/>
      </c>
      <c r="P419" s="80" t="str">
        <f t="shared" si="44"/>
        <v>-</v>
      </c>
      <c r="Q419" s="75">
        <v>3.9500000000000003E-8</v>
      </c>
      <c r="R419" s="175" t="str">
        <f>IF(OR('Inventaire M-1'!D172="Dispo/Liquidité Investie",'Inventaire M-1'!D172="Option/Future",'Inventaire M-1'!D172="TCN",'Inventaire M-1'!D172=""),"-",'Inventaire M-1'!A172)</f>
        <v>XS3049816013</v>
      </c>
      <c r="S419" s="175" t="str">
        <f>IF(OR('Inventaire M-1'!D172="Dispo/Liquidité Investie",'Inventaire M-1'!D172="Option/Future",'Inventaire M-1'!D172="TCN",'Inventaire M-1'!D172=""),"-",'Inventaire M-1'!B172)</f>
        <v>FLUTTER TREASURY DAC 4 04/06/2031</v>
      </c>
      <c r="T419" s="175"/>
      <c r="U419" s="175" t="e">
        <f>IF(R419="-","",INDEX('Inventaire M-1'!$A$2:$AG$9334,MATCH(R419,'Inventaire M-1'!$A:$A,0)-1,MATCH("Cours EUR",'Inventaire M-1'!#REF!,0)))</f>
        <v>#REF!</v>
      </c>
      <c r="V419" s="175" t="str">
        <f>IF(R419="-","",IF(ISERROR(INDEX('Inventaire M'!$A$2:$AD$9319,MATCH(R419,'Inventaire M'!$A:$A,0)-1,MATCH("Cours EUR",'Inventaire M'!#REF!,0))),"Sell",INDEX('Inventaire M'!$A$2:$AD$9319,MATCH(R419,'Inventaire M'!$A:$A,0)-1,MATCH("Cours EUR",'Inventaire M'!#REF!,0))))</f>
        <v>Sell</v>
      </c>
      <c r="W419" s="175"/>
      <c r="X419" s="156" t="e">
        <f>IF(R419="-","",INDEX('Inventaire M-1'!$A$2:$AG$9334,MATCH(R419,'Inventaire M-1'!$A:$A,0)-1,MATCH("quantite",'Inventaire M-1'!#REF!,0)))</f>
        <v>#REF!</v>
      </c>
      <c r="Y419" s="156" t="str">
        <f>IF(S419="-","",IF(ISERROR(INDEX('Inventaire M'!$A$2:$AD$9319,MATCH(R419,'Inventaire M'!$A:$A,0)-1,MATCH("quantite",'Inventaire M'!#REF!,0))),"Sell",INDEX('Inventaire M'!$A$2:$AD$9319,MATCH(R419,'Inventaire M'!$A:$A,0)-1,MATCH("quantite",'Inventaire M'!#REF!,0))))</f>
        <v>Sell</v>
      </c>
      <c r="Z419" s="175"/>
      <c r="AA419" s="155" t="e">
        <f>IF(R419="-","",INDEX('Inventaire M-1'!$A$2:$AG$9334,MATCH(R419,'Inventaire M-1'!$A:$A,0)-1,MATCH("poids",'Inventaire M-1'!#REF!,0)))</f>
        <v>#REF!</v>
      </c>
      <c r="AB419" s="155" t="str">
        <f>IF(R419="-","",IF(ISERROR(INDEX('Inventaire M'!$A$2:$AD$9319,MATCH(R419,'Inventaire M'!$A:$A,0)-1,MATCH("poids",'Inventaire M'!#REF!,0))),"Sell",INDEX('Inventaire M'!$A$2:$AD$9319,MATCH(R419,'Inventaire M'!$A:$A,0)-1,MATCH("poids",'Inventaire M'!#REF!,0))))</f>
        <v>Sell</v>
      </c>
      <c r="AC419" s="175"/>
      <c r="AD419" s="157" t="str">
        <f t="shared" si="45"/>
        <v>0</v>
      </c>
      <c r="AE419" s="98" t="str">
        <f t="shared" si="46"/>
        <v/>
      </c>
      <c r="AF419" s="80" t="str">
        <f t="shared" si="47"/>
        <v>FLUTTER TREASURY DAC 4 04/06/2031</v>
      </c>
    </row>
    <row r="420" spans="2:32" outlineLevel="1">
      <c r="B420" s="175" t="str">
        <f>IF(OR('Inventaire M'!D198="Dispo/Liquidité Investie",'Inventaire M'!D198="Option/Future",'Inventaire M'!D198="TCN",'Inventaire M'!D198=""),"-",'Inventaire M'!A198)</f>
        <v>-</v>
      </c>
      <c r="C420" s="175" t="str">
        <f>IF(OR('Inventaire M'!D198="Dispo/Liquidité Investie",'Inventaire M'!D198="Option/Future",'Inventaire M'!D198="TCN",'Inventaire M'!D198=""),"-",'Inventaire M'!B198)</f>
        <v>-</v>
      </c>
      <c r="D420" s="175"/>
      <c r="E420" s="175" t="str">
        <f>IF(B420="-","",INDEX('Inventaire M'!$A$2:$AW$9305,MATCH(B420,'Inventaire M'!$A:$A,0)-1,MATCH("Cours EUR",'Inventaire M'!#REF!,0)))</f>
        <v/>
      </c>
      <c r="F420" s="175" t="str">
        <f>IF(B420="-","",IF(ISERROR(INDEX('Inventaire M-1'!$A$2:$AZ$9320,MATCH(B420,'Inventaire M-1'!$A:$A,0)-1,MATCH("Cours EUR",'Inventaire M-1'!#REF!,0))),"Buy",INDEX('Inventaire M-1'!$A$2:$AZ$9320,MATCH(B420,'Inventaire M-1'!$A:$A,0)-1,MATCH("Cours EUR",'Inventaire M-1'!#REF!,0))))</f>
        <v/>
      </c>
      <c r="G420" s="175"/>
      <c r="H420" s="156" t="str">
        <f>IF(B420="-","",INDEX('Inventaire M'!$A$2:$AW$9305,MATCH(B420,'Inventaire M'!$A:$A,0)-1,MATCH("quantite",'Inventaire M'!#REF!,0)))</f>
        <v/>
      </c>
      <c r="I420" s="156" t="str">
        <f>IF(C420="-","",IF(ISERROR(INDEX('Inventaire M-1'!$A$2:$AZ$9320,MATCH(B420,'Inventaire M-1'!$A:$A,0)-1,MATCH("quantite",'Inventaire M-1'!#REF!,0))),"Buy",INDEX('Inventaire M-1'!$A$2:$AZ$9320,MATCH(B420,'Inventaire M-1'!$A:$A,0)-1,MATCH("quantite",'Inventaire M-1'!#REF!,0))))</f>
        <v/>
      </c>
      <c r="J420" s="175"/>
      <c r="K420" s="155" t="str">
        <f>IF(B420="-","",INDEX('Inventaire M'!$A$2:$AW$9305,MATCH(B420,'Inventaire M'!$A:$A,0)-1,MATCH("poids",'Inventaire M'!#REF!,0)))</f>
        <v/>
      </c>
      <c r="L420" s="155" t="str">
        <f>IF(B420="-","",IF(ISERROR(INDEX('Inventaire M-1'!$A$2:$AZ$9320,MATCH(B420,'Inventaire M-1'!$A:$A,0)-1,MATCH("poids",'Inventaire M-1'!#REF!,0))),"Buy",INDEX('Inventaire M-1'!$A$2:$AZ$9320,MATCH(B420,'Inventaire M-1'!$A:$A,0)-1,MATCH("poids",'Inventaire M-1'!#REF!,0))))</f>
        <v/>
      </c>
      <c r="M420" s="175"/>
      <c r="N420" s="157" t="str">
        <f t="shared" si="42"/>
        <v>0</v>
      </c>
      <c r="O420" s="98" t="str">
        <f t="shared" si="43"/>
        <v/>
      </c>
      <c r="P420" s="80" t="str">
        <f t="shared" si="44"/>
        <v>-</v>
      </c>
      <c r="Q420" s="75">
        <v>3.9599999999999997E-8</v>
      </c>
      <c r="R420" s="175" t="str">
        <f>IF(OR('Inventaire M-1'!D172="Dispo/Liquidité Investie",'Inventaire M-1'!D172="Option/Future",'Inventaire M-1'!D172="TCN",'Inventaire M-1'!D172=""),"-",'Inventaire M-1'!A172)</f>
        <v>XS3049816013</v>
      </c>
      <c r="S420" s="175" t="str">
        <f>IF(OR('Inventaire M-1'!D172="Dispo/Liquidité Investie",'Inventaire M-1'!D172="Option/Future",'Inventaire M-1'!D172="TCN",'Inventaire M-1'!D172=""),"-",'Inventaire M-1'!B172)</f>
        <v>FLUTTER TREASURY DAC 4 04/06/2031</v>
      </c>
      <c r="T420" s="175"/>
      <c r="U420" s="175" t="e">
        <f>IF(R420="-","",INDEX('Inventaire M-1'!$A$2:$AG$9334,MATCH(R420,'Inventaire M-1'!$A:$A,0)-1,MATCH("Cours EUR",'Inventaire M-1'!#REF!,0)))</f>
        <v>#REF!</v>
      </c>
      <c r="V420" s="175" t="str">
        <f>IF(R420="-","",IF(ISERROR(INDEX('Inventaire M'!$A$2:$AD$9319,MATCH(R420,'Inventaire M'!$A:$A,0)-1,MATCH("Cours EUR",'Inventaire M'!#REF!,0))),"Sell",INDEX('Inventaire M'!$A$2:$AD$9319,MATCH(R420,'Inventaire M'!$A:$A,0)-1,MATCH("Cours EUR",'Inventaire M'!#REF!,0))))</f>
        <v>Sell</v>
      </c>
      <c r="W420" s="175"/>
      <c r="X420" s="156" t="e">
        <f>IF(R420="-","",INDEX('Inventaire M-1'!$A$2:$AG$9334,MATCH(R420,'Inventaire M-1'!$A:$A,0)-1,MATCH("quantite",'Inventaire M-1'!#REF!,0)))</f>
        <v>#REF!</v>
      </c>
      <c r="Y420" s="156" t="str">
        <f>IF(S420="-","",IF(ISERROR(INDEX('Inventaire M'!$A$2:$AD$9319,MATCH(R420,'Inventaire M'!$A:$A,0)-1,MATCH("quantite",'Inventaire M'!#REF!,0))),"Sell",INDEX('Inventaire M'!$A$2:$AD$9319,MATCH(R420,'Inventaire M'!$A:$A,0)-1,MATCH("quantite",'Inventaire M'!#REF!,0))))</f>
        <v>Sell</v>
      </c>
      <c r="Z420" s="175"/>
      <c r="AA420" s="155" t="e">
        <f>IF(R420="-","",INDEX('Inventaire M-1'!$A$2:$AG$9334,MATCH(R420,'Inventaire M-1'!$A:$A,0)-1,MATCH("poids",'Inventaire M-1'!#REF!,0)))</f>
        <v>#REF!</v>
      </c>
      <c r="AB420" s="155" t="str">
        <f>IF(R420="-","",IF(ISERROR(INDEX('Inventaire M'!$A$2:$AD$9319,MATCH(R420,'Inventaire M'!$A:$A,0)-1,MATCH("poids",'Inventaire M'!#REF!,0))),"Sell",INDEX('Inventaire M'!$A$2:$AD$9319,MATCH(R420,'Inventaire M'!$A:$A,0)-1,MATCH("poids",'Inventaire M'!#REF!,0))))</f>
        <v>Sell</v>
      </c>
      <c r="AC420" s="175"/>
      <c r="AD420" s="157" t="str">
        <f t="shared" ref="AD420:AD475" si="48">IFERROR(IF(Y420="Sell",-X420,Y420-X420),"0")</f>
        <v>0</v>
      </c>
      <c r="AE420" s="98" t="str">
        <f t="shared" ref="AE420:AE475" si="49">IFERROR(IF(AD420&lt;0,IF(AB420="Sell",AA420+10%,AB420-AA420)+Q420,""),"")</f>
        <v/>
      </c>
      <c r="AF420" s="80" t="str">
        <f t="shared" ref="AF420:AF475" si="50">S420</f>
        <v>FLUTTER TREASURY DAC 4 04/06/2031</v>
      </c>
    </row>
    <row r="421" spans="2:32" outlineLevel="1">
      <c r="B421" s="175" t="str">
        <f>IF(OR('Inventaire M'!D199="Dispo/Liquidité Investie",'Inventaire M'!D199="Option/Future",'Inventaire M'!D199="TCN",'Inventaire M'!D199=""),"-",'Inventaire M'!A199)</f>
        <v>-</v>
      </c>
      <c r="C421" s="175" t="str">
        <f>IF(OR('Inventaire M'!D199="Dispo/Liquidité Investie",'Inventaire M'!D199="Option/Future",'Inventaire M'!D199="TCN",'Inventaire M'!D199=""),"-",'Inventaire M'!B199)</f>
        <v>-</v>
      </c>
      <c r="D421" s="175"/>
      <c r="E421" s="175" t="str">
        <f>IF(B421="-","",INDEX('Inventaire M'!$A$2:$AW$9305,MATCH(B421,'Inventaire M'!$A:$A,0)-1,MATCH("Cours EUR",'Inventaire M'!#REF!,0)))</f>
        <v/>
      </c>
      <c r="F421" s="175" t="str">
        <f>IF(B421="-","",IF(ISERROR(INDEX('Inventaire M-1'!$A$2:$AZ$9320,MATCH(B421,'Inventaire M-1'!$A:$A,0)-1,MATCH("Cours EUR",'Inventaire M-1'!#REF!,0))),"Buy",INDEX('Inventaire M-1'!$A$2:$AZ$9320,MATCH(B421,'Inventaire M-1'!$A:$A,0)-1,MATCH("Cours EUR",'Inventaire M-1'!#REF!,0))))</f>
        <v/>
      </c>
      <c r="G421" s="175"/>
      <c r="H421" s="156" t="str">
        <f>IF(B421="-","",INDEX('Inventaire M'!$A$2:$AW$9305,MATCH(B421,'Inventaire M'!$A:$A,0)-1,MATCH("quantite",'Inventaire M'!#REF!,0)))</f>
        <v/>
      </c>
      <c r="I421" s="156" t="str">
        <f>IF(C421="-","",IF(ISERROR(INDEX('Inventaire M-1'!$A$2:$AZ$9320,MATCH(B421,'Inventaire M-1'!$A:$A,0)-1,MATCH("quantite",'Inventaire M-1'!#REF!,0))),"Buy",INDEX('Inventaire M-1'!$A$2:$AZ$9320,MATCH(B421,'Inventaire M-1'!$A:$A,0)-1,MATCH("quantite",'Inventaire M-1'!#REF!,0))))</f>
        <v/>
      </c>
      <c r="J421" s="175"/>
      <c r="K421" s="155" t="str">
        <f>IF(B421="-","",INDEX('Inventaire M'!$A$2:$AW$9305,MATCH(B421,'Inventaire M'!$A:$A,0)-1,MATCH("poids",'Inventaire M'!#REF!,0)))</f>
        <v/>
      </c>
      <c r="L421" s="155" t="str">
        <f>IF(B421="-","",IF(ISERROR(INDEX('Inventaire M-1'!$A$2:$AZ$9320,MATCH(B421,'Inventaire M-1'!$A:$A,0)-1,MATCH("poids",'Inventaire M-1'!#REF!,0))),"Buy",INDEX('Inventaire M-1'!$A$2:$AZ$9320,MATCH(B421,'Inventaire M-1'!$A:$A,0)-1,MATCH("poids",'Inventaire M-1'!#REF!,0))))</f>
        <v/>
      </c>
      <c r="M421" s="175"/>
      <c r="N421" s="157" t="str">
        <f t="shared" si="42"/>
        <v>0</v>
      </c>
      <c r="O421" s="98" t="str">
        <f t="shared" si="43"/>
        <v/>
      </c>
      <c r="P421" s="80" t="str">
        <f t="shared" si="44"/>
        <v>-</v>
      </c>
      <c r="Q421" s="75">
        <v>3.9699999999999998E-8</v>
      </c>
      <c r="R421" s="175" t="str">
        <f>IF(OR('Inventaire M-1'!D173="Dispo/Liquidité Investie",'Inventaire M-1'!D173="Option/Future",'Inventaire M-1'!D173="TCN",'Inventaire M-1'!D173=""),"-",'Inventaire M-1'!A173)</f>
        <v>XS3066681704</v>
      </c>
      <c r="S421" s="175" t="str">
        <f>IF(OR('Inventaire M-1'!D173="Dispo/Liquidité Investie",'Inventaire M-1'!D173="Option/Future",'Inventaire M-1'!D173="TCN",'Inventaire M-1'!D173=""),"-",'Inventaire M-1'!B173)</f>
        <v>ALBION FINANCING 1 SARL 5.375 21/05/2030</v>
      </c>
      <c r="T421" s="175"/>
      <c r="U421" s="175" t="e">
        <f>IF(R421="-","",INDEX('Inventaire M-1'!$A$2:$AG$9334,MATCH(R421,'Inventaire M-1'!$A:$A,0)-1,MATCH("Cours EUR",'Inventaire M-1'!#REF!,0)))</f>
        <v>#REF!</v>
      </c>
      <c r="V421" s="175" t="str">
        <f>IF(R421="-","",IF(ISERROR(INDEX('Inventaire M'!$A$2:$AD$9319,MATCH(R421,'Inventaire M'!$A:$A,0)-1,MATCH("Cours EUR",'Inventaire M'!#REF!,0))),"Sell",INDEX('Inventaire M'!$A$2:$AD$9319,MATCH(R421,'Inventaire M'!$A:$A,0)-1,MATCH("Cours EUR",'Inventaire M'!#REF!,0))))</f>
        <v>Sell</v>
      </c>
      <c r="W421" s="175"/>
      <c r="X421" s="156" t="e">
        <f>IF(R421="-","",INDEX('Inventaire M-1'!$A$2:$AG$9334,MATCH(R421,'Inventaire M-1'!$A:$A,0)-1,MATCH("quantite",'Inventaire M-1'!#REF!,0)))</f>
        <v>#REF!</v>
      </c>
      <c r="Y421" s="156" t="str">
        <f>IF(S421="-","",IF(ISERROR(INDEX('Inventaire M'!$A$2:$AD$9319,MATCH(R421,'Inventaire M'!$A:$A,0)-1,MATCH("quantite",'Inventaire M'!#REF!,0))),"Sell",INDEX('Inventaire M'!$A$2:$AD$9319,MATCH(R421,'Inventaire M'!$A:$A,0)-1,MATCH("quantite",'Inventaire M'!#REF!,0))))</f>
        <v>Sell</v>
      </c>
      <c r="Z421" s="175"/>
      <c r="AA421" s="155" t="e">
        <f>IF(R421="-","",INDEX('Inventaire M-1'!$A$2:$AG$9334,MATCH(R421,'Inventaire M-1'!$A:$A,0)-1,MATCH("poids",'Inventaire M-1'!#REF!,0)))</f>
        <v>#REF!</v>
      </c>
      <c r="AB421" s="155" t="str">
        <f>IF(R421="-","",IF(ISERROR(INDEX('Inventaire M'!$A$2:$AD$9319,MATCH(R421,'Inventaire M'!$A:$A,0)-1,MATCH("poids",'Inventaire M'!#REF!,0))),"Sell",INDEX('Inventaire M'!$A$2:$AD$9319,MATCH(R421,'Inventaire M'!$A:$A,0)-1,MATCH("poids",'Inventaire M'!#REF!,0))))</f>
        <v>Sell</v>
      </c>
      <c r="AC421" s="175"/>
      <c r="AD421" s="157" t="str">
        <f t="shared" si="48"/>
        <v>0</v>
      </c>
      <c r="AE421" s="98" t="str">
        <f t="shared" si="49"/>
        <v/>
      </c>
      <c r="AF421" s="80" t="str">
        <f t="shared" si="50"/>
        <v>ALBION FINANCING 1 SARL 5.375 21/05/2030</v>
      </c>
    </row>
    <row r="422" spans="2:32" outlineLevel="1">
      <c r="B422" s="175" t="str">
        <f>IF(OR('Inventaire M'!D200="Dispo/Liquidité Investie",'Inventaire M'!D200="Option/Future",'Inventaire M'!D200="TCN",'Inventaire M'!D200=""),"-",'Inventaire M'!A200)</f>
        <v>-</v>
      </c>
      <c r="C422" s="175" t="str">
        <f>IF(OR('Inventaire M'!D200="Dispo/Liquidité Investie",'Inventaire M'!D200="Option/Future",'Inventaire M'!D200="TCN",'Inventaire M'!D200=""),"-",'Inventaire M'!B200)</f>
        <v>-</v>
      </c>
      <c r="D422" s="175"/>
      <c r="E422" s="175" t="str">
        <f>IF(B422="-","",INDEX('Inventaire M'!$A$2:$AW$9305,MATCH(B422,'Inventaire M'!$A:$A,0)-1,MATCH("Cours EUR",'Inventaire M'!#REF!,0)))</f>
        <v/>
      </c>
      <c r="F422" s="175" t="str">
        <f>IF(B422="-","",IF(ISERROR(INDEX('Inventaire M-1'!$A$2:$AZ$9320,MATCH(B422,'Inventaire M-1'!$A:$A,0)-1,MATCH("Cours EUR",'Inventaire M-1'!#REF!,0))),"Buy",INDEX('Inventaire M-1'!$A$2:$AZ$9320,MATCH(B422,'Inventaire M-1'!$A:$A,0)-1,MATCH("Cours EUR",'Inventaire M-1'!#REF!,0))))</f>
        <v/>
      </c>
      <c r="G422" s="175"/>
      <c r="H422" s="156" t="str">
        <f>IF(B422="-","",INDEX('Inventaire M'!$A$2:$AW$9305,MATCH(B422,'Inventaire M'!$A:$A,0)-1,MATCH("quantite",'Inventaire M'!#REF!,0)))</f>
        <v/>
      </c>
      <c r="I422" s="156" t="str">
        <f>IF(C422="-","",IF(ISERROR(INDEX('Inventaire M-1'!$A$2:$AZ$9320,MATCH(B422,'Inventaire M-1'!$A:$A,0)-1,MATCH("quantite",'Inventaire M-1'!#REF!,0))),"Buy",INDEX('Inventaire M-1'!$A$2:$AZ$9320,MATCH(B422,'Inventaire M-1'!$A:$A,0)-1,MATCH("quantite",'Inventaire M-1'!#REF!,0))))</f>
        <v/>
      </c>
      <c r="J422" s="175"/>
      <c r="K422" s="155" t="str">
        <f>IF(B422="-","",INDEX('Inventaire M'!$A$2:$AW$9305,MATCH(B422,'Inventaire M'!$A:$A,0)-1,MATCH("poids",'Inventaire M'!#REF!,0)))</f>
        <v/>
      </c>
      <c r="L422" s="155" t="str">
        <f>IF(B422="-","",IF(ISERROR(INDEX('Inventaire M-1'!$A$2:$AZ$9320,MATCH(B422,'Inventaire M-1'!$A:$A,0)-1,MATCH("poids",'Inventaire M-1'!#REF!,0))),"Buy",INDEX('Inventaire M-1'!$A$2:$AZ$9320,MATCH(B422,'Inventaire M-1'!$A:$A,0)-1,MATCH("poids",'Inventaire M-1'!#REF!,0))))</f>
        <v/>
      </c>
      <c r="M422" s="175"/>
      <c r="N422" s="157" t="str">
        <f t="shared" si="42"/>
        <v>0</v>
      </c>
      <c r="O422" s="98" t="str">
        <f t="shared" si="43"/>
        <v/>
      </c>
      <c r="P422" s="80" t="str">
        <f t="shared" si="44"/>
        <v>-</v>
      </c>
      <c r="Q422" s="75">
        <v>3.9799999999999999E-8</v>
      </c>
      <c r="R422" s="175" t="str">
        <f>IF(OR('Inventaire M-1'!D174="Dispo/Liquidité Investie",'Inventaire M-1'!D174="Option/Future",'Inventaire M-1'!D174="TCN",'Inventaire M-1'!D174=""),"-",'Inventaire M-1'!A174)</f>
        <v>XS3067385420</v>
      </c>
      <c r="S422" s="175" t="str">
        <f>IF(OR('Inventaire M-1'!D174="Dispo/Liquidité Investie",'Inventaire M-1'!D174="Option/Future",'Inventaire M-1'!D174="TCN",'Inventaire M-1'!D174=""),"-",'Inventaire M-1'!B174)</f>
        <v>CURRENTA GROUP HOLDINGS SARL 5.5 15/05/2030</v>
      </c>
      <c r="T422" s="175"/>
      <c r="U422" s="175" t="e">
        <f>IF(R422="-","",INDEX('Inventaire M-1'!$A$2:$AG$9334,MATCH(R422,'Inventaire M-1'!$A:$A,0)-1,MATCH("Cours EUR",'Inventaire M-1'!#REF!,0)))</f>
        <v>#REF!</v>
      </c>
      <c r="V422" s="175" t="str">
        <f>IF(R422="-","",IF(ISERROR(INDEX('Inventaire M'!$A$2:$AD$9319,MATCH(R422,'Inventaire M'!$A:$A,0)-1,MATCH("Cours EUR",'Inventaire M'!#REF!,0))),"Sell",INDEX('Inventaire M'!$A$2:$AD$9319,MATCH(R422,'Inventaire M'!$A:$A,0)-1,MATCH("Cours EUR",'Inventaire M'!#REF!,0))))</f>
        <v>Sell</v>
      </c>
      <c r="W422" s="175"/>
      <c r="X422" s="156" t="e">
        <f>IF(R422="-","",INDEX('Inventaire M-1'!$A$2:$AG$9334,MATCH(R422,'Inventaire M-1'!$A:$A,0)-1,MATCH("quantite",'Inventaire M-1'!#REF!,0)))</f>
        <v>#REF!</v>
      </c>
      <c r="Y422" s="156" t="str">
        <f>IF(S422="-","",IF(ISERROR(INDEX('Inventaire M'!$A$2:$AD$9319,MATCH(R422,'Inventaire M'!$A:$A,0)-1,MATCH("quantite",'Inventaire M'!#REF!,0))),"Sell",INDEX('Inventaire M'!$A$2:$AD$9319,MATCH(R422,'Inventaire M'!$A:$A,0)-1,MATCH("quantite",'Inventaire M'!#REF!,0))))</f>
        <v>Sell</v>
      </c>
      <c r="Z422" s="175"/>
      <c r="AA422" s="155" t="e">
        <f>IF(R422="-","",INDEX('Inventaire M-1'!$A$2:$AG$9334,MATCH(R422,'Inventaire M-1'!$A:$A,0)-1,MATCH("poids",'Inventaire M-1'!#REF!,0)))</f>
        <v>#REF!</v>
      </c>
      <c r="AB422" s="155" t="str">
        <f>IF(R422="-","",IF(ISERROR(INDEX('Inventaire M'!$A$2:$AD$9319,MATCH(R422,'Inventaire M'!$A:$A,0)-1,MATCH("poids",'Inventaire M'!#REF!,0))),"Sell",INDEX('Inventaire M'!$A$2:$AD$9319,MATCH(R422,'Inventaire M'!$A:$A,0)-1,MATCH("poids",'Inventaire M'!#REF!,0))))</f>
        <v>Sell</v>
      </c>
      <c r="AC422" s="175"/>
      <c r="AD422" s="157" t="str">
        <f t="shared" si="48"/>
        <v>0</v>
      </c>
      <c r="AE422" s="98" t="str">
        <f t="shared" si="49"/>
        <v/>
      </c>
      <c r="AF422" s="80" t="str">
        <f t="shared" si="50"/>
        <v>CURRENTA GROUP HOLDINGS SARL 5.5 15/05/2030</v>
      </c>
    </row>
    <row r="423" spans="2:32" outlineLevel="1">
      <c r="B423" s="175" t="str">
        <f>IF(OR('Inventaire M'!D201="Dispo/Liquidité Investie",'Inventaire M'!D201="Option/Future",'Inventaire M'!D201="TCN",'Inventaire M'!D201=""),"-",'Inventaire M'!A201)</f>
        <v>-</v>
      </c>
      <c r="C423" s="175" t="str">
        <f>IF(OR('Inventaire M'!D201="Dispo/Liquidité Investie",'Inventaire M'!D201="Option/Future",'Inventaire M'!D201="TCN",'Inventaire M'!D201=""),"-",'Inventaire M'!B201)</f>
        <v>-</v>
      </c>
      <c r="D423" s="175"/>
      <c r="E423" s="175" t="str">
        <f>IF(B423="-","",INDEX('Inventaire M'!$A$2:$AW$9305,MATCH(B423,'Inventaire M'!$A:$A,0)-1,MATCH("Cours EUR",'Inventaire M'!#REF!,0)))</f>
        <v/>
      </c>
      <c r="F423" s="175" t="str">
        <f>IF(B423="-","",IF(ISERROR(INDEX('Inventaire M-1'!$A$2:$AZ$9320,MATCH(B423,'Inventaire M-1'!$A:$A,0)-1,MATCH("Cours EUR",'Inventaire M-1'!#REF!,0))),"Buy",INDEX('Inventaire M-1'!$A$2:$AZ$9320,MATCH(B423,'Inventaire M-1'!$A:$A,0)-1,MATCH("Cours EUR",'Inventaire M-1'!#REF!,0))))</f>
        <v/>
      </c>
      <c r="G423" s="175"/>
      <c r="H423" s="156" t="str">
        <f>IF(B423="-","",INDEX('Inventaire M'!$A$2:$AW$9305,MATCH(B423,'Inventaire M'!$A:$A,0)-1,MATCH("quantite",'Inventaire M'!#REF!,0)))</f>
        <v/>
      </c>
      <c r="I423" s="156" t="str">
        <f>IF(C423="-","",IF(ISERROR(INDEX('Inventaire M-1'!$A$2:$AZ$9320,MATCH(B423,'Inventaire M-1'!$A:$A,0)-1,MATCH("quantite",'Inventaire M-1'!#REF!,0))),"Buy",INDEX('Inventaire M-1'!$A$2:$AZ$9320,MATCH(B423,'Inventaire M-1'!$A:$A,0)-1,MATCH("quantite",'Inventaire M-1'!#REF!,0))))</f>
        <v/>
      </c>
      <c r="J423" s="175"/>
      <c r="K423" s="155" t="str">
        <f>IF(B423="-","",INDEX('Inventaire M'!$A$2:$AW$9305,MATCH(B423,'Inventaire M'!$A:$A,0)-1,MATCH("poids",'Inventaire M'!#REF!,0)))</f>
        <v/>
      </c>
      <c r="L423" s="155" t="str">
        <f>IF(B423="-","",IF(ISERROR(INDEX('Inventaire M-1'!$A$2:$AZ$9320,MATCH(B423,'Inventaire M-1'!$A:$A,0)-1,MATCH("poids",'Inventaire M-1'!#REF!,0))),"Buy",INDEX('Inventaire M-1'!$A$2:$AZ$9320,MATCH(B423,'Inventaire M-1'!$A:$A,0)-1,MATCH("poids",'Inventaire M-1'!#REF!,0))))</f>
        <v/>
      </c>
      <c r="M423" s="175"/>
      <c r="N423" s="157" t="str">
        <f t="shared" si="42"/>
        <v>0</v>
      </c>
      <c r="O423" s="98" t="str">
        <f t="shared" si="43"/>
        <v/>
      </c>
      <c r="P423" s="80" t="str">
        <f t="shared" si="44"/>
        <v>-</v>
      </c>
      <c r="Q423" s="75">
        <v>3.99E-8</v>
      </c>
      <c r="R423" s="175" t="str">
        <f>IF(OR('Inventaire M-1'!D175="Dispo/Liquidité Investie",'Inventaire M-1'!D175="Option/Future",'Inventaire M-1'!D175="TCN",'Inventaire M-1'!D175=""),"-",'Inventaire M-1'!A175)</f>
        <v>XS3067907140</v>
      </c>
      <c r="S423" s="175" t="str">
        <f>IF(OR('Inventaire M-1'!D175="Dispo/Liquidité Investie",'Inventaire M-1'!D175="Option/Future",'Inventaire M-1'!D175="TCN",'Inventaire M-1'!D175=""),"-",'Inventaire M-1'!B175)</f>
        <v>IPD 3 BV 5.5 15/06/2031</v>
      </c>
      <c r="T423" s="175"/>
      <c r="U423" s="175" t="e">
        <f>IF(R423="-","",INDEX('Inventaire M-1'!$A$2:$AG$9334,MATCH(R423,'Inventaire M-1'!$A:$A,0)-1,MATCH("Cours EUR",'Inventaire M-1'!#REF!,0)))</f>
        <v>#REF!</v>
      </c>
      <c r="V423" s="175" t="str">
        <f>IF(R423="-","",IF(ISERROR(INDEX('Inventaire M'!$A$2:$AD$9319,MATCH(R423,'Inventaire M'!$A:$A,0)-1,MATCH("Cours EUR",'Inventaire M'!#REF!,0))),"Sell",INDEX('Inventaire M'!$A$2:$AD$9319,MATCH(R423,'Inventaire M'!$A:$A,0)-1,MATCH("Cours EUR",'Inventaire M'!#REF!,0))))</f>
        <v>Sell</v>
      </c>
      <c r="W423" s="175"/>
      <c r="X423" s="156" t="e">
        <f>IF(R423="-","",INDEX('Inventaire M-1'!$A$2:$AG$9334,MATCH(R423,'Inventaire M-1'!$A:$A,0)-1,MATCH("quantite",'Inventaire M-1'!#REF!,0)))</f>
        <v>#REF!</v>
      </c>
      <c r="Y423" s="156" t="str">
        <f>IF(S423="-","",IF(ISERROR(INDEX('Inventaire M'!$A$2:$AD$9319,MATCH(R423,'Inventaire M'!$A:$A,0)-1,MATCH("quantite",'Inventaire M'!#REF!,0))),"Sell",INDEX('Inventaire M'!$A$2:$AD$9319,MATCH(R423,'Inventaire M'!$A:$A,0)-1,MATCH("quantite",'Inventaire M'!#REF!,0))))</f>
        <v>Sell</v>
      </c>
      <c r="Z423" s="175"/>
      <c r="AA423" s="155" t="e">
        <f>IF(R423="-","",INDEX('Inventaire M-1'!$A$2:$AG$9334,MATCH(R423,'Inventaire M-1'!$A:$A,0)-1,MATCH("poids",'Inventaire M-1'!#REF!,0)))</f>
        <v>#REF!</v>
      </c>
      <c r="AB423" s="155" t="str">
        <f>IF(R423="-","",IF(ISERROR(INDEX('Inventaire M'!$A$2:$AD$9319,MATCH(R423,'Inventaire M'!$A:$A,0)-1,MATCH("poids",'Inventaire M'!#REF!,0))),"Sell",INDEX('Inventaire M'!$A$2:$AD$9319,MATCH(R423,'Inventaire M'!$A:$A,0)-1,MATCH("poids",'Inventaire M'!#REF!,0))))</f>
        <v>Sell</v>
      </c>
      <c r="AC423" s="175"/>
      <c r="AD423" s="157" t="str">
        <f t="shared" si="48"/>
        <v>0</v>
      </c>
      <c r="AE423" s="98" t="str">
        <f t="shared" si="49"/>
        <v/>
      </c>
      <c r="AF423" s="80" t="str">
        <f t="shared" si="50"/>
        <v>IPD 3 BV 5.5 15/06/2031</v>
      </c>
    </row>
    <row r="424" spans="2:32" outlineLevel="1">
      <c r="B424" s="175" t="str">
        <f>IF(OR('Inventaire M'!D202="Dispo/Liquidité Investie",'Inventaire M'!D202="Option/Future",'Inventaire M'!D202="TCN",'Inventaire M'!D202=""),"-",'Inventaire M'!A202)</f>
        <v>-</v>
      </c>
      <c r="C424" s="175" t="str">
        <f>IF(OR('Inventaire M'!D202="Dispo/Liquidité Investie",'Inventaire M'!D202="Option/Future",'Inventaire M'!D202="TCN",'Inventaire M'!D202=""),"-",'Inventaire M'!B202)</f>
        <v>-</v>
      </c>
      <c r="D424" s="175"/>
      <c r="E424" s="175" t="str">
        <f>IF(B424="-","",INDEX('Inventaire M'!$A$2:$AW$9305,MATCH(B424,'Inventaire M'!$A:$A,0)-1,MATCH("Cours EUR",'Inventaire M'!#REF!,0)))</f>
        <v/>
      </c>
      <c r="F424" s="175" t="str">
        <f>IF(B424="-","",IF(ISERROR(INDEX('Inventaire M-1'!$A$2:$AZ$9320,MATCH(B424,'Inventaire M-1'!$A:$A,0)-1,MATCH("Cours EUR",'Inventaire M-1'!#REF!,0))),"Buy",INDEX('Inventaire M-1'!$A$2:$AZ$9320,MATCH(B424,'Inventaire M-1'!$A:$A,0)-1,MATCH("Cours EUR",'Inventaire M-1'!#REF!,0))))</f>
        <v/>
      </c>
      <c r="G424" s="175"/>
      <c r="H424" s="156" t="str">
        <f>IF(B424="-","",INDEX('Inventaire M'!$A$2:$AW$9305,MATCH(B424,'Inventaire M'!$A:$A,0)-1,MATCH("quantite",'Inventaire M'!#REF!,0)))</f>
        <v/>
      </c>
      <c r="I424" s="156" t="str">
        <f>IF(C424="-","",IF(ISERROR(INDEX('Inventaire M-1'!$A$2:$AZ$9320,MATCH(B424,'Inventaire M-1'!$A:$A,0)-1,MATCH("quantite",'Inventaire M-1'!#REF!,0))),"Buy",INDEX('Inventaire M-1'!$A$2:$AZ$9320,MATCH(B424,'Inventaire M-1'!$A:$A,0)-1,MATCH("quantite",'Inventaire M-1'!#REF!,0))))</f>
        <v/>
      </c>
      <c r="J424" s="175"/>
      <c r="K424" s="155" t="str">
        <f>IF(B424="-","",INDEX('Inventaire M'!$A$2:$AW$9305,MATCH(B424,'Inventaire M'!$A:$A,0)-1,MATCH("poids",'Inventaire M'!#REF!,0)))</f>
        <v/>
      </c>
      <c r="L424" s="155" t="str">
        <f>IF(B424="-","",IF(ISERROR(INDEX('Inventaire M-1'!$A$2:$AZ$9320,MATCH(B424,'Inventaire M-1'!$A:$A,0)-1,MATCH("poids",'Inventaire M-1'!#REF!,0))),"Buy",INDEX('Inventaire M-1'!$A$2:$AZ$9320,MATCH(B424,'Inventaire M-1'!$A:$A,0)-1,MATCH("poids",'Inventaire M-1'!#REF!,0))))</f>
        <v/>
      </c>
      <c r="M424" s="175"/>
      <c r="N424" s="157" t="str">
        <f t="shared" si="42"/>
        <v>0</v>
      </c>
      <c r="O424" s="98" t="str">
        <f t="shared" si="43"/>
        <v/>
      </c>
      <c r="P424" s="80" t="str">
        <f t="shared" si="44"/>
        <v>-</v>
      </c>
      <c r="Q424" s="75">
        <v>4.0000000000000001E-8</v>
      </c>
      <c r="R424" s="175" t="str">
        <f>IF(OR('Inventaire M-1'!D176="Dispo/Liquidité Investie",'Inventaire M-1'!D176="Option/Future",'Inventaire M-1'!D176="TCN",'Inventaire M-1'!D176=""),"-",'Inventaire M-1'!A176)</f>
        <v>XS3076304602</v>
      </c>
      <c r="S424" s="175" t="str">
        <f>IF(OR('Inventaire M-1'!D176="Dispo/Liquidité Investie",'Inventaire M-1'!D176="Option/Future",'Inventaire M-1'!D176="TCN",'Inventaire M-1'!D176=""),"-",'Inventaire M-1'!B176)</f>
        <v>PRYSMIAN SPA PERP</v>
      </c>
      <c r="T424" s="175"/>
      <c r="U424" s="175" t="e">
        <f>IF(R424="-","",INDEX('Inventaire M-1'!$A$2:$AG$9334,MATCH(R424,'Inventaire M-1'!$A:$A,0)-1,MATCH("Cours EUR",'Inventaire M-1'!#REF!,0)))</f>
        <v>#REF!</v>
      </c>
      <c r="V424" s="175" t="str">
        <f>IF(R424="-","",IF(ISERROR(INDEX('Inventaire M'!$A$2:$AD$9319,MATCH(R424,'Inventaire M'!$A:$A,0)-1,MATCH("Cours EUR",'Inventaire M'!#REF!,0))),"Sell",INDEX('Inventaire M'!$A$2:$AD$9319,MATCH(R424,'Inventaire M'!$A:$A,0)-1,MATCH("Cours EUR",'Inventaire M'!#REF!,0))))</f>
        <v>Sell</v>
      </c>
      <c r="W424" s="175"/>
      <c r="X424" s="156" t="e">
        <f>IF(R424="-","",INDEX('Inventaire M-1'!$A$2:$AG$9334,MATCH(R424,'Inventaire M-1'!$A:$A,0)-1,MATCH("quantite",'Inventaire M-1'!#REF!,0)))</f>
        <v>#REF!</v>
      </c>
      <c r="Y424" s="156" t="str">
        <f>IF(S424="-","",IF(ISERROR(INDEX('Inventaire M'!$A$2:$AD$9319,MATCH(R424,'Inventaire M'!$A:$A,0)-1,MATCH("quantite",'Inventaire M'!#REF!,0))),"Sell",INDEX('Inventaire M'!$A$2:$AD$9319,MATCH(R424,'Inventaire M'!$A:$A,0)-1,MATCH("quantite",'Inventaire M'!#REF!,0))))</f>
        <v>Sell</v>
      </c>
      <c r="Z424" s="175"/>
      <c r="AA424" s="155" t="e">
        <f>IF(R424="-","",INDEX('Inventaire M-1'!$A$2:$AG$9334,MATCH(R424,'Inventaire M-1'!$A:$A,0)-1,MATCH("poids",'Inventaire M-1'!#REF!,0)))</f>
        <v>#REF!</v>
      </c>
      <c r="AB424" s="155" t="str">
        <f>IF(R424="-","",IF(ISERROR(INDEX('Inventaire M'!$A$2:$AD$9319,MATCH(R424,'Inventaire M'!$A:$A,0)-1,MATCH("poids",'Inventaire M'!#REF!,0))),"Sell",INDEX('Inventaire M'!$A$2:$AD$9319,MATCH(R424,'Inventaire M'!$A:$A,0)-1,MATCH("poids",'Inventaire M'!#REF!,0))))</f>
        <v>Sell</v>
      </c>
      <c r="AC424" s="175"/>
      <c r="AD424" s="157" t="str">
        <f t="shared" si="48"/>
        <v>0</v>
      </c>
      <c r="AE424" s="98" t="str">
        <f t="shared" si="49"/>
        <v/>
      </c>
      <c r="AF424" s="80" t="str">
        <f t="shared" si="50"/>
        <v>PRYSMIAN SPA PERP</v>
      </c>
    </row>
    <row r="425" spans="2:32" outlineLevel="1">
      <c r="B425" s="175" t="str">
        <f>IF(OR('Inventaire M'!D203="Dispo/Liquidité Investie",'Inventaire M'!D203="Option/Future",'Inventaire M'!D203="TCN",'Inventaire M'!D203=""),"-",'Inventaire M'!A203)</f>
        <v>-</v>
      </c>
      <c r="C425" s="175" t="str">
        <f>IF(OR('Inventaire M'!D203="Dispo/Liquidité Investie",'Inventaire M'!D203="Option/Future",'Inventaire M'!D203="TCN",'Inventaire M'!D203=""),"-",'Inventaire M'!B203)</f>
        <v>-</v>
      </c>
      <c r="D425" s="175"/>
      <c r="E425" s="175" t="str">
        <f>IF(B425="-","",INDEX('Inventaire M'!$A$2:$AW$9305,MATCH(B425,'Inventaire M'!$A:$A,0)-1,MATCH("Cours EUR",'Inventaire M'!#REF!,0)))</f>
        <v/>
      </c>
      <c r="F425" s="175" t="str">
        <f>IF(B425="-","",IF(ISERROR(INDEX('Inventaire M-1'!$A$2:$AZ$9320,MATCH(B425,'Inventaire M-1'!$A:$A,0)-1,MATCH("Cours EUR",'Inventaire M-1'!#REF!,0))),"Buy",INDEX('Inventaire M-1'!$A$2:$AZ$9320,MATCH(B425,'Inventaire M-1'!$A:$A,0)-1,MATCH("Cours EUR",'Inventaire M-1'!#REF!,0))))</f>
        <v/>
      </c>
      <c r="G425" s="175"/>
      <c r="H425" s="156" t="str">
        <f>IF(B425="-","",INDEX('Inventaire M'!$A$2:$AW$9305,MATCH(B425,'Inventaire M'!$A:$A,0)-1,MATCH("quantite",'Inventaire M'!#REF!,0)))</f>
        <v/>
      </c>
      <c r="I425" s="156" t="str">
        <f>IF(C425="-","",IF(ISERROR(INDEX('Inventaire M-1'!$A$2:$AZ$9320,MATCH(B425,'Inventaire M-1'!$A:$A,0)-1,MATCH("quantite",'Inventaire M-1'!#REF!,0))),"Buy",INDEX('Inventaire M-1'!$A$2:$AZ$9320,MATCH(B425,'Inventaire M-1'!$A:$A,0)-1,MATCH("quantite",'Inventaire M-1'!#REF!,0))))</f>
        <v/>
      </c>
      <c r="J425" s="175"/>
      <c r="K425" s="155" t="str">
        <f>IF(B425="-","",INDEX('Inventaire M'!$A$2:$AW$9305,MATCH(B425,'Inventaire M'!$A:$A,0)-1,MATCH("poids",'Inventaire M'!#REF!,0)))</f>
        <v/>
      </c>
      <c r="L425" s="155" t="str">
        <f>IF(B425="-","",IF(ISERROR(INDEX('Inventaire M-1'!$A$2:$AZ$9320,MATCH(B425,'Inventaire M-1'!$A:$A,0)-1,MATCH("poids",'Inventaire M-1'!#REF!,0))),"Buy",INDEX('Inventaire M-1'!$A$2:$AZ$9320,MATCH(B425,'Inventaire M-1'!$A:$A,0)-1,MATCH("poids",'Inventaire M-1'!#REF!,0))))</f>
        <v/>
      </c>
      <c r="M425" s="175"/>
      <c r="N425" s="157" t="str">
        <f t="shared" si="42"/>
        <v>0</v>
      </c>
      <c r="O425" s="98" t="str">
        <f t="shared" si="43"/>
        <v/>
      </c>
      <c r="P425" s="80" t="str">
        <f t="shared" si="44"/>
        <v>-</v>
      </c>
      <c r="Q425" s="75">
        <v>4.0100000000000002E-8</v>
      </c>
      <c r="R425" s="175" t="str">
        <f>IF(OR('Inventaire M-1'!D177="Dispo/Liquidité Investie",'Inventaire M-1'!D177="Option/Future",'Inventaire M-1'!D177="TCN",'Inventaire M-1'!D177=""),"-",'Inventaire M-1'!A177)</f>
        <v>XS3081797964</v>
      </c>
      <c r="S425" s="175" t="str">
        <f>IF(OR('Inventaire M-1'!D177="Dispo/Liquidité Investie",'Inventaire M-1'!D177="Option/Future",'Inventaire M-1'!D177="TCN",'Inventaire M-1'!D177=""),"-",'Inventaire M-1'!B177)</f>
        <v>TEVA PHARMACEUTICAL FINANCE NETHER 4.125 01/06/2031</v>
      </c>
      <c r="T425" s="175"/>
      <c r="U425" s="175" t="e">
        <f>IF(R425="-","",INDEX('Inventaire M-1'!$A$2:$AG$9334,MATCH(R425,'Inventaire M-1'!$A:$A,0)-1,MATCH("Cours EUR",'Inventaire M-1'!#REF!,0)))</f>
        <v>#REF!</v>
      </c>
      <c r="V425" s="175" t="str">
        <f>IF(R425="-","",IF(ISERROR(INDEX('Inventaire M'!$A$2:$AD$9319,MATCH(R425,'Inventaire M'!$A:$A,0)-1,MATCH("Cours EUR",'Inventaire M'!#REF!,0))),"Sell",INDEX('Inventaire M'!$A$2:$AD$9319,MATCH(R425,'Inventaire M'!$A:$A,0)-1,MATCH("Cours EUR",'Inventaire M'!#REF!,0))))</f>
        <v>Sell</v>
      </c>
      <c r="W425" s="175"/>
      <c r="X425" s="156" t="e">
        <f>IF(R425="-","",INDEX('Inventaire M-1'!$A$2:$AG$9334,MATCH(R425,'Inventaire M-1'!$A:$A,0)-1,MATCH("quantite",'Inventaire M-1'!#REF!,0)))</f>
        <v>#REF!</v>
      </c>
      <c r="Y425" s="156" t="str">
        <f>IF(S425="-","",IF(ISERROR(INDEX('Inventaire M'!$A$2:$AD$9319,MATCH(R425,'Inventaire M'!$A:$A,0)-1,MATCH("quantite",'Inventaire M'!#REF!,0))),"Sell",INDEX('Inventaire M'!$A$2:$AD$9319,MATCH(R425,'Inventaire M'!$A:$A,0)-1,MATCH("quantite",'Inventaire M'!#REF!,0))))</f>
        <v>Sell</v>
      </c>
      <c r="Z425" s="175"/>
      <c r="AA425" s="155" t="e">
        <f>IF(R425="-","",INDEX('Inventaire M-1'!$A$2:$AG$9334,MATCH(R425,'Inventaire M-1'!$A:$A,0)-1,MATCH("poids",'Inventaire M-1'!#REF!,0)))</f>
        <v>#REF!</v>
      </c>
      <c r="AB425" s="155" t="str">
        <f>IF(R425="-","",IF(ISERROR(INDEX('Inventaire M'!$A$2:$AD$9319,MATCH(R425,'Inventaire M'!$A:$A,0)-1,MATCH("poids",'Inventaire M'!#REF!,0))),"Sell",INDEX('Inventaire M'!$A$2:$AD$9319,MATCH(R425,'Inventaire M'!$A:$A,0)-1,MATCH("poids",'Inventaire M'!#REF!,0))))</f>
        <v>Sell</v>
      </c>
      <c r="AC425" s="175"/>
      <c r="AD425" s="157" t="str">
        <f t="shared" si="48"/>
        <v>0</v>
      </c>
      <c r="AE425" s="98" t="str">
        <f t="shared" si="49"/>
        <v/>
      </c>
      <c r="AF425" s="80" t="str">
        <f t="shared" si="50"/>
        <v>TEVA PHARMACEUTICAL FINANCE NETHER 4.125 01/06/2031</v>
      </c>
    </row>
    <row r="426" spans="2:32" outlineLevel="1">
      <c r="B426" s="175" t="str">
        <f>IF(OR('Inventaire M'!D204="Dispo/Liquidité Investie",'Inventaire M'!D204="Option/Future",'Inventaire M'!D204="TCN",'Inventaire M'!D204=""),"-",'Inventaire M'!A204)</f>
        <v>-</v>
      </c>
      <c r="C426" s="175" t="str">
        <f>IF(OR('Inventaire M'!D204="Dispo/Liquidité Investie",'Inventaire M'!D204="Option/Future",'Inventaire M'!D204="TCN",'Inventaire M'!D204=""),"-",'Inventaire M'!B204)</f>
        <v>-</v>
      </c>
      <c r="D426" s="175"/>
      <c r="E426" s="175" t="str">
        <f>IF(B426="-","",INDEX('Inventaire M'!$A$2:$AW$9305,MATCH(B426,'Inventaire M'!$A:$A,0)-1,MATCH("Cours EUR",'Inventaire M'!#REF!,0)))</f>
        <v/>
      </c>
      <c r="F426" s="175" t="str">
        <f>IF(B426="-","",IF(ISERROR(INDEX('Inventaire M-1'!$A$2:$AZ$9320,MATCH(B426,'Inventaire M-1'!$A:$A,0)-1,MATCH("Cours EUR",'Inventaire M-1'!#REF!,0))),"Buy",INDEX('Inventaire M-1'!$A$2:$AZ$9320,MATCH(B426,'Inventaire M-1'!$A:$A,0)-1,MATCH("Cours EUR",'Inventaire M-1'!#REF!,0))))</f>
        <v/>
      </c>
      <c r="G426" s="175"/>
      <c r="H426" s="156" t="str">
        <f>IF(B426="-","",INDEX('Inventaire M'!$A$2:$AW$9305,MATCH(B426,'Inventaire M'!$A:$A,0)-1,MATCH("quantite",'Inventaire M'!#REF!,0)))</f>
        <v/>
      </c>
      <c r="I426" s="156" t="str">
        <f>IF(C426="-","",IF(ISERROR(INDEX('Inventaire M-1'!$A$2:$AZ$9320,MATCH(B426,'Inventaire M-1'!$A:$A,0)-1,MATCH("quantite",'Inventaire M-1'!#REF!,0))),"Buy",INDEX('Inventaire M-1'!$A$2:$AZ$9320,MATCH(B426,'Inventaire M-1'!$A:$A,0)-1,MATCH("quantite",'Inventaire M-1'!#REF!,0))))</f>
        <v/>
      </c>
      <c r="J426" s="175"/>
      <c r="K426" s="155" t="str">
        <f>IF(B426="-","",INDEX('Inventaire M'!$A$2:$AW$9305,MATCH(B426,'Inventaire M'!$A:$A,0)-1,MATCH("poids",'Inventaire M'!#REF!,0)))</f>
        <v/>
      </c>
      <c r="L426" s="155" t="str">
        <f>IF(B426="-","",IF(ISERROR(INDEX('Inventaire M-1'!$A$2:$AZ$9320,MATCH(B426,'Inventaire M-1'!$A:$A,0)-1,MATCH("poids",'Inventaire M-1'!#REF!,0))),"Buy",INDEX('Inventaire M-1'!$A$2:$AZ$9320,MATCH(B426,'Inventaire M-1'!$A:$A,0)-1,MATCH("poids",'Inventaire M-1'!#REF!,0))))</f>
        <v/>
      </c>
      <c r="M426" s="175"/>
      <c r="N426" s="157" t="str">
        <f t="shared" si="42"/>
        <v>0</v>
      </c>
      <c r="O426" s="98" t="str">
        <f t="shared" si="43"/>
        <v/>
      </c>
      <c r="P426" s="80" t="str">
        <f t="shared" si="44"/>
        <v>-</v>
      </c>
      <c r="Q426" s="75">
        <v>4.0200000000000003E-8</v>
      </c>
      <c r="R426" s="175" t="str">
        <f>IF(OR('Inventaire M-1'!D178="Dispo/Liquidité Investie",'Inventaire M-1'!D178="Option/Future",'Inventaire M-1'!D178="TCN",'Inventaire M-1'!D178=""),"-",'Inventaire M-1'!A178)</f>
        <v>XS3091295801</v>
      </c>
      <c r="S426" s="175" t="str">
        <f>IF(OR('Inventaire M-1'!D178="Dispo/Liquidité Investie",'Inventaire M-1'!D178="Option/Future",'Inventaire M-1'!D178="TCN",'Inventaire M-1'!D178=""),"-",'Inventaire M-1'!B178)</f>
        <v>CLARIOS US FINANCE COMPANY INC 4.75 15/06/2031</v>
      </c>
      <c r="T426" s="175"/>
      <c r="U426" s="175" t="e">
        <f>IF(R426="-","",INDEX('Inventaire M-1'!$A$2:$AG$9334,MATCH(R426,'Inventaire M-1'!$A:$A,0)-1,MATCH("Cours EUR",'Inventaire M-1'!#REF!,0)))</f>
        <v>#REF!</v>
      </c>
      <c r="V426" s="175" t="str">
        <f>IF(R426="-","",IF(ISERROR(INDEX('Inventaire M'!$A$2:$AD$9319,MATCH(R426,'Inventaire M'!$A:$A,0)-1,MATCH("Cours EUR",'Inventaire M'!#REF!,0))),"Sell",INDEX('Inventaire M'!$A$2:$AD$9319,MATCH(R426,'Inventaire M'!$A:$A,0)-1,MATCH("Cours EUR",'Inventaire M'!#REF!,0))))</f>
        <v>Sell</v>
      </c>
      <c r="W426" s="175"/>
      <c r="X426" s="156" t="e">
        <f>IF(R426="-","",INDEX('Inventaire M-1'!$A$2:$AG$9334,MATCH(R426,'Inventaire M-1'!$A:$A,0)-1,MATCH("quantite",'Inventaire M-1'!#REF!,0)))</f>
        <v>#REF!</v>
      </c>
      <c r="Y426" s="156" t="str">
        <f>IF(S426="-","",IF(ISERROR(INDEX('Inventaire M'!$A$2:$AD$9319,MATCH(R426,'Inventaire M'!$A:$A,0)-1,MATCH("quantite",'Inventaire M'!#REF!,0))),"Sell",INDEX('Inventaire M'!$A$2:$AD$9319,MATCH(R426,'Inventaire M'!$A:$A,0)-1,MATCH("quantite",'Inventaire M'!#REF!,0))))</f>
        <v>Sell</v>
      </c>
      <c r="Z426" s="175"/>
      <c r="AA426" s="155" t="e">
        <f>IF(R426="-","",INDEX('Inventaire M-1'!$A$2:$AG$9334,MATCH(R426,'Inventaire M-1'!$A:$A,0)-1,MATCH("poids",'Inventaire M-1'!#REF!,0)))</f>
        <v>#REF!</v>
      </c>
      <c r="AB426" s="155" t="str">
        <f>IF(R426="-","",IF(ISERROR(INDEX('Inventaire M'!$A$2:$AD$9319,MATCH(R426,'Inventaire M'!$A:$A,0)-1,MATCH("poids",'Inventaire M'!#REF!,0))),"Sell",INDEX('Inventaire M'!$A$2:$AD$9319,MATCH(R426,'Inventaire M'!$A:$A,0)-1,MATCH("poids",'Inventaire M'!#REF!,0))))</f>
        <v>Sell</v>
      </c>
      <c r="AC426" s="175"/>
      <c r="AD426" s="157" t="str">
        <f t="shared" si="48"/>
        <v>0</v>
      </c>
      <c r="AE426" s="98" t="str">
        <f t="shared" si="49"/>
        <v/>
      </c>
      <c r="AF426" s="80" t="str">
        <f t="shared" si="50"/>
        <v>CLARIOS US FINANCE COMPANY INC 4.75 15/06/2031</v>
      </c>
    </row>
    <row r="427" spans="2:32" outlineLevel="1">
      <c r="B427" s="175" t="str">
        <f>IF(OR('Inventaire M'!D205="Dispo/Liquidité Investie",'Inventaire M'!D205="Option/Future",'Inventaire M'!D205="TCN",'Inventaire M'!D205=""),"-",'Inventaire M'!A205)</f>
        <v>-</v>
      </c>
      <c r="C427" s="175" t="str">
        <f>IF(OR('Inventaire M'!D205="Dispo/Liquidité Investie",'Inventaire M'!D205="Option/Future",'Inventaire M'!D205="TCN",'Inventaire M'!D205=""),"-",'Inventaire M'!B205)</f>
        <v>-</v>
      </c>
      <c r="D427" s="175"/>
      <c r="E427" s="175" t="str">
        <f>IF(B427="-","",INDEX('Inventaire M'!$A$2:$AW$9305,MATCH(B427,'Inventaire M'!$A:$A,0)-1,MATCH("Cours EUR",'Inventaire M'!#REF!,0)))</f>
        <v/>
      </c>
      <c r="F427" s="175" t="str">
        <f>IF(B427="-","",IF(ISERROR(INDEX('Inventaire M-1'!$A$2:$AZ$9320,MATCH(B427,'Inventaire M-1'!$A:$A,0)-1,MATCH("Cours EUR",'Inventaire M-1'!#REF!,0))),"Buy",INDEX('Inventaire M-1'!$A$2:$AZ$9320,MATCH(B427,'Inventaire M-1'!$A:$A,0)-1,MATCH("Cours EUR",'Inventaire M-1'!#REF!,0))))</f>
        <v/>
      </c>
      <c r="G427" s="175"/>
      <c r="H427" s="156" t="str">
        <f>IF(B427="-","",INDEX('Inventaire M'!$A$2:$AW$9305,MATCH(B427,'Inventaire M'!$A:$A,0)-1,MATCH("quantite",'Inventaire M'!#REF!,0)))</f>
        <v/>
      </c>
      <c r="I427" s="156" t="str">
        <f>IF(C427="-","",IF(ISERROR(INDEX('Inventaire M-1'!$A$2:$AZ$9320,MATCH(B427,'Inventaire M-1'!$A:$A,0)-1,MATCH("quantite",'Inventaire M-1'!#REF!,0))),"Buy",INDEX('Inventaire M-1'!$A$2:$AZ$9320,MATCH(B427,'Inventaire M-1'!$A:$A,0)-1,MATCH("quantite",'Inventaire M-1'!#REF!,0))))</f>
        <v/>
      </c>
      <c r="J427" s="175"/>
      <c r="K427" s="155" t="str">
        <f>IF(B427="-","",INDEX('Inventaire M'!$A$2:$AW$9305,MATCH(B427,'Inventaire M'!$A:$A,0)-1,MATCH("poids",'Inventaire M'!#REF!,0)))</f>
        <v/>
      </c>
      <c r="L427" s="155" t="str">
        <f>IF(B427="-","",IF(ISERROR(INDEX('Inventaire M-1'!$A$2:$AZ$9320,MATCH(B427,'Inventaire M-1'!$A:$A,0)-1,MATCH("poids",'Inventaire M-1'!#REF!,0))),"Buy",INDEX('Inventaire M-1'!$A$2:$AZ$9320,MATCH(B427,'Inventaire M-1'!$A:$A,0)-1,MATCH("poids",'Inventaire M-1'!#REF!,0))))</f>
        <v/>
      </c>
      <c r="M427" s="175"/>
      <c r="N427" s="157" t="str">
        <f t="shared" si="42"/>
        <v>0</v>
      </c>
      <c r="O427" s="98" t="str">
        <f t="shared" si="43"/>
        <v/>
      </c>
      <c r="P427" s="80" t="str">
        <f t="shared" si="44"/>
        <v>-</v>
      </c>
      <c r="Q427" s="75">
        <v>4.0299999999999997E-8</v>
      </c>
      <c r="R427" s="175" t="str">
        <f>IF(OR('Inventaire M-1'!D179="Dispo/Liquidité Investie",'Inventaire M-1'!D179="Option/Future",'Inventaire M-1'!D179="TCN",'Inventaire M-1'!D179=""),"-",'Inventaire M-1'!A179)</f>
        <v>XS3091660194</v>
      </c>
      <c r="S427" s="175" t="str">
        <f>IF(OR('Inventaire M-1'!D179="Dispo/Liquidité Investie",'Inventaire M-1'!D179="Option/Future",'Inventaire M-1'!D179="TCN",'Inventaire M-1'!D179=""),"-",'Inventaire M-1'!B179)</f>
        <v>ZF EUROPE FINANCE BV 7 12/06/2030</v>
      </c>
      <c r="T427" s="175"/>
      <c r="U427" s="175" t="e">
        <f>IF(R427="-","",INDEX('Inventaire M-1'!$A$2:$AG$9334,MATCH(R427,'Inventaire M-1'!$A:$A,0)-1,MATCH("Cours EUR",'Inventaire M-1'!#REF!,0)))</f>
        <v>#REF!</v>
      </c>
      <c r="V427" s="175" t="str">
        <f>IF(R427="-","",IF(ISERROR(INDEX('Inventaire M'!$A$2:$AD$9319,MATCH(R427,'Inventaire M'!$A:$A,0)-1,MATCH("Cours EUR",'Inventaire M'!#REF!,0))),"Sell",INDEX('Inventaire M'!$A$2:$AD$9319,MATCH(R427,'Inventaire M'!$A:$A,0)-1,MATCH("Cours EUR",'Inventaire M'!#REF!,0))))</f>
        <v>Sell</v>
      </c>
      <c r="W427" s="175"/>
      <c r="X427" s="156" t="e">
        <f>IF(R427="-","",INDEX('Inventaire M-1'!$A$2:$AG$9334,MATCH(R427,'Inventaire M-1'!$A:$A,0)-1,MATCH("quantite",'Inventaire M-1'!#REF!,0)))</f>
        <v>#REF!</v>
      </c>
      <c r="Y427" s="156" t="str">
        <f>IF(S427="-","",IF(ISERROR(INDEX('Inventaire M'!$A$2:$AD$9319,MATCH(R427,'Inventaire M'!$A:$A,0)-1,MATCH("quantite",'Inventaire M'!#REF!,0))),"Sell",INDEX('Inventaire M'!$A$2:$AD$9319,MATCH(R427,'Inventaire M'!$A:$A,0)-1,MATCH("quantite",'Inventaire M'!#REF!,0))))</f>
        <v>Sell</v>
      </c>
      <c r="Z427" s="175"/>
      <c r="AA427" s="155" t="e">
        <f>IF(R427="-","",INDEX('Inventaire M-1'!$A$2:$AG$9334,MATCH(R427,'Inventaire M-1'!$A:$A,0)-1,MATCH("poids",'Inventaire M-1'!#REF!,0)))</f>
        <v>#REF!</v>
      </c>
      <c r="AB427" s="155" t="str">
        <f>IF(R427="-","",IF(ISERROR(INDEX('Inventaire M'!$A$2:$AD$9319,MATCH(R427,'Inventaire M'!$A:$A,0)-1,MATCH("poids",'Inventaire M'!#REF!,0))),"Sell",INDEX('Inventaire M'!$A$2:$AD$9319,MATCH(R427,'Inventaire M'!$A:$A,0)-1,MATCH("poids",'Inventaire M'!#REF!,0))))</f>
        <v>Sell</v>
      </c>
      <c r="AC427" s="175"/>
      <c r="AD427" s="157" t="str">
        <f t="shared" si="48"/>
        <v>0</v>
      </c>
      <c r="AE427" s="98" t="str">
        <f t="shared" si="49"/>
        <v/>
      </c>
      <c r="AF427" s="80" t="str">
        <f t="shared" si="50"/>
        <v>ZF EUROPE FINANCE BV 7 12/06/2030</v>
      </c>
    </row>
    <row r="428" spans="2:32" outlineLevel="1">
      <c r="B428" s="175" t="str">
        <f>IF(OR('Inventaire M'!D206="Dispo/Liquidité Investie",'Inventaire M'!D206="Option/Future",'Inventaire M'!D206="TCN",'Inventaire M'!D206=""),"-",'Inventaire M'!A206)</f>
        <v>-</v>
      </c>
      <c r="C428" s="175" t="str">
        <f>IF(OR('Inventaire M'!D206="Dispo/Liquidité Investie",'Inventaire M'!D206="Option/Future",'Inventaire M'!D206="TCN",'Inventaire M'!D206=""),"-",'Inventaire M'!B206)</f>
        <v>-</v>
      </c>
      <c r="D428" s="175"/>
      <c r="E428" s="175" t="str">
        <f>IF(B428="-","",INDEX('Inventaire M'!$A$2:$AW$9305,MATCH(B428,'Inventaire M'!$A:$A,0)-1,MATCH("Cours EUR",'Inventaire M'!#REF!,0)))</f>
        <v/>
      </c>
      <c r="F428" s="175" t="str">
        <f>IF(B428="-","",IF(ISERROR(INDEX('Inventaire M-1'!$A$2:$AZ$9320,MATCH(B428,'Inventaire M-1'!$A:$A,0)-1,MATCH("Cours EUR",'Inventaire M-1'!#REF!,0))),"Buy",INDEX('Inventaire M-1'!$A$2:$AZ$9320,MATCH(B428,'Inventaire M-1'!$A:$A,0)-1,MATCH("Cours EUR",'Inventaire M-1'!#REF!,0))))</f>
        <v/>
      </c>
      <c r="G428" s="175"/>
      <c r="H428" s="156" t="str">
        <f>IF(B428="-","",INDEX('Inventaire M'!$A$2:$AW$9305,MATCH(B428,'Inventaire M'!$A:$A,0)-1,MATCH("quantite",'Inventaire M'!#REF!,0)))</f>
        <v/>
      </c>
      <c r="I428" s="156" t="str">
        <f>IF(C428="-","",IF(ISERROR(INDEX('Inventaire M-1'!$A$2:$AZ$9320,MATCH(B428,'Inventaire M-1'!$A:$A,0)-1,MATCH("quantite",'Inventaire M-1'!#REF!,0))),"Buy",INDEX('Inventaire M-1'!$A$2:$AZ$9320,MATCH(B428,'Inventaire M-1'!$A:$A,0)-1,MATCH("quantite",'Inventaire M-1'!#REF!,0))))</f>
        <v/>
      </c>
      <c r="J428" s="175"/>
      <c r="K428" s="155" t="str">
        <f>IF(B428="-","",INDEX('Inventaire M'!$A$2:$AW$9305,MATCH(B428,'Inventaire M'!$A:$A,0)-1,MATCH("poids",'Inventaire M'!#REF!,0)))</f>
        <v/>
      </c>
      <c r="L428" s="155" t="str">
        <f>IF(B428="-","",IF(ISERROR(INDEX('Inventaire M-1'!$A$2:$AZ$9320,MATCH(B428,'Inventaire M-1'!$A:$A,0)-1,MATCH("poids",'Inventaire M-1'!#REF!,0))),"Buy",INDEX('Inventaire M-1'!$A$2:$AZ$9320,MATCH(B428,'Inventaire M-1'!$A:$A,0)-1,MATCH("poids",'Inventaire M-1'!#REF!,0))))</f>
        <v/>
      </c>
      <c r="M428" s="175"/>
      <c r="N428" s="157" t="str">
        <f t="shared" si="42"/>
        <v>0</v>
      </c>
      <c r="O428" s="98" t="str">
        <f t="shared" si="43"/>
        <v/>
      </c>
      <c r="P428" s="80" t="str">
        <f t="shared" si="44"/>
        <v>-</v>
      </c>
      <c r="Q428" s="75">
        <v>4.0399999999999998E-8</v>
      </c>
      <c r="R428" s="175" t="str">
        <f>IF(OR('Inventaire M-1'!D180="Dispo/Liquidité Investie",'Inventaire M-1'!D180="Option/Future",'Inventaire M-1'!D180="TCN",'Inventaire M-1'!D180=""),"-",'Inventaire M-1'!A180)</f>
        <v>XS3091931058</v>
      </c>
      <c r="S428" s="175" t="str">
        <f>IF(OR('Inventaire M-1'!D180="Dispo/Liquidité Investie",'Inventaire M-1'!D180="Option/Future",'Inventaire M-1'!D180="TCN",'Inventaire M-1'!D180=""),"-",'Inventaire M-1'!B180)</f>
        <v>EDREAMS ODIGEO SA 4.875 30/12/2030</v>
      </c>
      <c r="T428" s="175"/>
      <c r="U428" s="175" t="e">
        <f>IF(R428="-","",INDEX('Inventaire M-1'!$A$2:$AG$9334,MATCH(R428,'Inventaire M-1'!$A:$A,0)-1,MATCH("Cours EUR",'Inventaire M-1'!#REF!,0)))</f>
        <v>#REF!</v>
      </c>
      <c r="V428" s="175" t="str">
        <f>IF(R428="-","",IF(ISERROR(INDEX('Inventaire M'!$A$2:$AD$9319,MATCH(R428,'Inventaire M'!$A:$A,0)-1,MATCH("Cours EUR",'Inventaire M'!#REF!,0))),"Sell",INDEX('Inventaire M'!$A$2:$AD$9319,MATCH(R428,'Inventaire M'!$A:$A,0)-1,MATCH("Cours EUR",'Inventaire M'!#REF!,0))))</f>
        <v>Sell</v>
      </c>
      <c r="W428" s="175"/>
      <c r="X428" s="156" t="e">
        <f>IF(R428="-","",INDEX('Inventaire M-1'!$A$2:$AG$9334,MATCH(R428,'Inventaire M-1'!$A:$A,0)-1,MATCH("quantite",'Inventaire M-1'!#REF!,0)))</f>
        <v>#REF!</v>
      </c>
      <c r="Y428" s="156" t="str">
        <f>IF(S428="-","",IF(ISERROR(INDEX('Inventaire M'!$A$2:$AD$9319,MATCH(R428,'Inventaire M'!$A:$A,0)-1,MATCH("quantite",'Inventaire M'!#REF!,0))),"Sell",INDEX('Inventaire M'!$A$2:$AD$9319,MATCH(R428,'Inventaire M'!$A:$A,0)-1,MATCH("quantite",'Inventaire M'!#REF!,0))))</f>
        <v>Sell</v>
      </c>
      <c r="Z428" s="175"/>
      <c r="AA428" s="155" t="e">
        <f>IF(R428="-","",INDEX('Inventaire M-1'!$A$2:$AG$9334,MATCH(R428,'Inventaire M-1'!$A:$A,0)-1,MATCH("poids",'Inventaire M-1'!#REF!,0)))</f>
        <v>#REF!</v>
      </c>
      <c r="AB428" s="155" t="str">
        <f>IF(R428="-","",IF(ISERROR(INDEX('Inventaire M'!$A$2:$AD$9319,MATCH(R428,'Inventaire M'!$A:$A,0)-1,MATCH("poids",'Inventaire M'!#REF!,0))),"Sell",INDEX('Inventaire M'!$A$2:$AD$9319,MATCH(R428,'Inventaire M'!$A:$A,0)-1,MATCH("poids",'Inventaire M'!#REF!,0))))</f>
        <v>Sell</v>
      </c>
      <c r="AC428" s="175"/>
      <c r="AD428" s="157" t="str">
        <f t="shared" si="48"/>
        <v>0</v>
      </c>
      <c r="AE428" s="98" t="str">
        <f t="shared" si="49"/>
        <v/>
      </c>
      <c r="AF428" s="80" t="str">
        <f t="shared" si="50"/>
        <v>EDREAMS ODIGEO SA 4.875 30/12/2030</v>
      </c>
    </row>
    <row r="429" spans="2:32" outlineLevel="1">
      <c r="B429" s="175" t="str">
        <f>IF(OR('Inventaire M'!D207="Dispo/Liquidité Investie",'Inventaire M'!D207="Option/Future",'Inventaire M'!D207="TCN",'Inventaire M'!D207=""),"-",'Inventaire M'!A207)</f>
        <v>-</v>
      </c>
      <c r="C429" s="175" t="str">
        <f>IF(OR('Inventaire M'!D207="Dispo/Liquidité Investie",'Inventaire M'!D207="Option/Future",'Inventaire M'!D207="TCN",'Inventaire M'!D207=""),"-",'Inventaire M'!B207)</f>
        <v>-</v>
      </c>
      <c r="D429" s="175"/>
      <c r="E429" s="175" t="str">
        <f>IF(B429="-","",INDEX('Inventaire M'!$A$2:$AW$9305,MATCH(B429,'Inventaire M'!$A:$A,0)-1,MATCH("Cours EUR",'Inventaire M'!#REF!,0)))</f>
        <v/>
      </c>
      <c r="F429" s="175" t="str">
        <f>IF(B429="-","",IF(ISERROR(INDEX('Inventaire M-1'!$A$2:$AZ$9320,MATCH(B429,'Inventaire M-1'!$A:$A,0)-1,MATCH("Cours EUR",'Inventaire M-1'!#REF!,0))),"Buy",INDEX('Inventaire M-1'!$A$2:$AZ$9320,MATCH(B429,'Inventaire M-1'!$A:$A,0)-1,MATCH("Cours EUR",'Inventaire M-1'!#REF!,0))))</f>
        <v/>
      </c>
      <c r="G429" s="175"/>
      <c r="H429" s="156" t="str">
        <f>IF(B429="-","",INDEX('Inventaire M'!$A$2:$AW$9305,MATCH(B429,'Inventaire M'!$A:$A,0)-1,MATCH("quantite",'Inventaire M'!#REF!,0)))</f>
        <v/>
      </c>
      <c r="I429" s="156" t="str">
        <f>IF(C429="-","",IF(ISERROR(INDEX('Inventaire M-1'!$A$2:$AZ$9320,MATCH(B429,'Inventaire M-1'!$A:$A,0)-1,MATCH("quantite",'Inventaire M-1'!#REF!,0))),"Buy",INDEX('Inventaire M-1'!$A$2:$AZ$9320,MATCH(B429,'Inventaire M-1'!$A:$A,0)-1,MATCH("quantite",'Inventaire M-1'!#REF!,0))))</f>
        <v/>
      </c>
      <c r="J429" s="175"/>
      <c r="K429" s="155" t="str">
        <f>IF(B429="-","",INDEX('Inventaire M'!$A$2:$AW$9305,MATCH(B429,'Inventaire M'!$A:$A,0)-1,MATCH("poids",'Inventaire M'!#REF!,0)))</f>
        <v/>
      </c>
      <c r="L429" s="155" t="str">
        <f>IF(B429="-","",IF(ISERROR(INDEX('Inventaire M-1'!$A$2:$AZ$9320,MATCH(B429,'Inventaire M-1'!$A:$A,0)-1,MATCH("poids",'Inventaire M-1'!#REF!,0))),"Buy",INDEX('Inventaire M-1'!$A$2:$AZ$9320,MATCH(B429,'Inventaire M-1'!$A:$A,0)-1,MATCH("poids",'Inventaire M-1'!#REF!,0))))</f>
        <v/>
      </c>
      <c r="M429" s="175"/>
      <c r="N429" s="157" t="str">
        <f t="shared" si="42"/>
        <v>0</v>
      </c>
      <c r="O429" s="98" t="str">
        <f t="shared" si="43"/>
        <v/>
      </c>
      <c r="P429" s="80" t="str">
        <f t="shared" si="44"/>
        <v>-</v>
      </c>
      <c r="Q429" s="75">
        <v>4.0499999999999999E-8</v>
      </c>
      <c r="R429" s="175" t="str">
        <f>IF(OR('Inventaire M-1'!D181="Dispo/Liquidité Investie",'Inventaire M-1'!D181="Option/Future",'Inventaire M-1'!D181="TCN",'Inventaire M-1'!D181=""),"-",'Inventaire M-1'!A181)</f>
        <v>XS3100773996</v>
      </c>
      <c r="S429" s="175" t="str">
        <f>IF(OR('Inventaire M-1'!D181="Dispo/Liquidité Investie",'Inventaire M-1'!D181="Option/Future",'Inventaire M-1'!D181="TCN",'Inventaire M-1'!D181=""),"-",'Inventaire M-1'!B181)</f>
        <v>SES SA 4.875 24/06/2033</v>
      </c>
      <c r="T429" s="175"/>
      <c r="U429" s="175" t="e">
        <f>IF(R429="-","",INDEX('Inventaire M-1'!$A$2:$AG$9334,MATCH(R429,'Inventaire M-1'!$A:$A,0)-1,MATCH("Cours EUR",'Inventaire M-1'!#REF!,0)))</f>
        <v>#REF!</v>
      </c>
      <c r="V429" s="175" t="str">
        <f>IF(R429="-","",IF(ISERROR(INDEX('Inventaire M'!$A$2:$AD$9319,MATCH(R429,'Inventaire M'!$A:$A,0)-1,MATCH("Cours EUR",'Inventaire M'!#REF!,0))),"Sell",INDEX('Inventaire M'!$A$2:$AD$9319,MATCH(R429,'Inventaire M'!$A:$A,0)-1,MATCH("Cours EUR",'Inventaire M'!#REF!,0))))</f>
        <v>Sell</v>
      </c>
      <c r="W429" s="175"/>
      <c r="X429" s="156" t="e">
        <f>IF(R429="-","",INDEX('Inventaire M-1'!$A$2:$AG$9334,MATCH(R429,'Inventaire M-1'!$A:$A,0)-1,MATCH("quantite",'Inventaire M-1'!#REF!,0)))</f>
        <v>#REF!</v>
      </c>
      <c r="Y429" s="156" t="str">
        <f>IF(S429="-","",IF(ISERROR(INDEX('Inventaire M'!$A$2:$AD$9319,MATCH(R429,'Inventaire M'!$A:$A,0)-1,MATCH("quantite",'Inventaire M'!#REF!,0))),"Sell",INDEX('Inventaire M'!$A$2:$AD$9319,MATCH(R429,'Inventaire M'!$A:$A,0)-1,MATCH("quantite",'Inventaire M'!#REF!,0))))</f>
        <v>Sell</v>
      </c>
      <c r="Z429" s="175"/>
      <c r="AA429" s="155" t="e">
        <f>IF(R429="-","",INDEX('Inventaire M-1'!$A$2:$AG$9334,MATCH(R429,'Inventaire M-1'!$A:$A,0)-1,MATCH("poids",'Inventaire M-1'!#REF!,0)))</f>
        <v>#REF!</v>
      </c>
      <c r="AB429" s="155" t="str">
        <f>IF(R429="-","",IF(ISERROR(INDEX('Inventaire M'!$A$2:$AD$9319,MATCH(R429,'Inventaire M'!$A:$A,0)-1,MATCH("poids",'Inventaire M'!#REF!,0))),"Sell",INDEX('Inventaire M'!$A$2:$AD$9319,MATCH(R429,'Inventaire M'!$A:$A,0)-1,MATCH("poids",'Inventaire M'!#REF!,0))))</f>
        <v>Sell</v>
      </c>
      <c r="AC429" s="175"/>
      <c r="AD429" s="157" t="str">
        <f t="shared" si="48"/>
        <v>0</v>
      </c>
      <c r="AE429" s="98" t="str">
        <f t="shared" si="49"/>
        <v/>
      </c>
      <c r="AF429" s="80" t="str">
        <f t="shared" si="50"/>
        <v>SES SA 4.875 24/06/2033</v>
      </c>
    </row>
    <row r="430" spans="2:32" outlineLevel="1">
      <c r="B430" s="175" t="str">
        <f>IF(OR('Inventaire M'!D208="Dispo/Liquidité Investie",'Inventaire M'!D208="Option/Future",'Inventaire M'!D208="TCN",'Inventaire M'!D208=""),"-",'Inventaire M'!A208)</f>
        <v>-</v>
      </c>
      <c r="C430" s="175" t="str">
        <f>IF(OR('Inventaire M'!D208="Dispo/Liquidité Investie",'Inventaire M'!D208="Option/Future",'Inventaire M'!D208="TCN",'Inventaire M'!D208=""),"-",'Inventaire M'!B208)</f>
        <v>-</v>
      </c>
      <c r="D430" s="175"/>
      <c r="E430" s="175" t="str">
        <f>IF(B430="-","",INDEX('Inventaire M'!$A$2:$AW$9305,MATCH(B430,'Inventaire M'!$A:$A,0)-1,MATCH("Cours EUR",'Inventaire M'!#REF!,0)))</f>
        <v/>
      </c>
      <c r="F430" s="175" t="str">
        <f>IF(B430="-","",IF(ISERROR(INDEX('Inventaire M-1'!$A$2:$AZ$9320,MATCH(B430,'Inventaire M-1'!$A:$A,0)-1,MATCH("Cours EUR",'Inventaire M-1'!#REF!,0))),"Buy",INDEX('Inventaire M-1'!$A$2:$AZ$9320,MATCH(B430,'Inventaire M-1'!$A:$A,0)-1,MATCH("Cours EUR",'Inventaire M-1'!#REF!,0))))</f>
        <v/>
      </c>
      <c r="G430" s="175"/>
      <c r="H430" s="156" t="str">
        <f>IF(B430="-","",INDEX('Inventaire M'!$A$2:$AW$9305,MATCH(B430,'Inventaire M'!$A:$A,0)-1,MATCH("quantite",'Inventaire M'!#REF!,0)))</f>
        <v/>
      </c>
      <c r="I430" s="156" t="str">
        <f>IF(C430="-","",IF(ISERROR(INDEX('Inventaire M-1'!$A$2:$AZ$9320,MATCH(B430,'Inventaire M-1'!$A:$A,0)-1,MATCH("quantite",'Inventaire M-1'!#REF!,0))),"Buy",INDEX('Inventaire M-1'!$A$2:$AZ$9320,MATCH(B430,'Inventaire M-1'!$A:$A,0)-1,MATCH("quantite",'Inventaire M-1'!#REF!,0))))</f>
        <v/>
      </c>
      <c r="J430" s="175"/>
      <c r="K430" s="155" t="str">
        <f>IF(B430="-","",INDEX('Inventaire M'!$A$2:$AW$9305,MATCH(B430,'Inventaire M'!$A:$A,0)-1,MATCH("poids",'Inventaire M'!#REF!,0)))</f>
        <v/>
      </c>
      <c r="L430" s="155" t="str">
        <f>IF(B430="-","",IF(ISERROR(INDEX('Inventaire M-1'!$A$2:$AZ$9320,MATCH(B430,'Inventaire M-1'!$A:$A,0)-1,MATCH("poids",'Inventaire M-1'!#REF!,0))),"Buy",INDEX('Inventaire M-1'!$A$2:$AZ$9320,MATCH(B430,'Inventaire M-1'!$A:$A,0)-1,MATCH("poids",'Inventaire M-1'!#REF!,0))))</f>
        <v/>
      </c>
      <c r="M430" s="175"/>
      <c r="N430" s="157" t="str">
        <f t="shared" si="42"/>
        <v>0</v>
      </c>
      <c r="O430" s="98" t="str">
        <f t="shared" si="43"/>
        <v/>
      </c>
      <c r="P430" s="80" t="str">
        <f t="shared" si="44"/>
        <v>-</v>
      </c>
      <c r="Q430" s="75">
        <v>4.06E-8</v>
      </c>
      <c r="R430" s="175" t="str">
        <f>IF(OR('Inventaire M-1'!D182="Dispo/Liquidité Investie",'Inventaire M-1'!D182="Option/Future",'Inventaire M-1'!D182="TCN",'Inventaire M-1'!D182=""),"-",'Inventaire M-1'!A182)</f>
        <v>XS3100795452</v>
      </c>
      <c r="S430" s="175" t="str">
        <f>IF(OR('Inventaire M-1'!D182="Dispo/Liquidité Investie",'Inventaire M-1'!D182="Option/Future",'Inventaire M-1'!D182="TCN",'Inventaire M-1'!D182=""),"-",'Inventaire M-1'!B182)</f>
        <v>LUNA 25 SARL 5.5 01/07/2032</v>
      </c>
      <c r="T430" s="175"/>
      <c r="U430" s="175" t="e">
        <f>IF(R430="-","",INDEX('Inventaire M-1'!$A$2:$AG$9334,MATCH(R430,'Inventaire M-1'!$A:$A,0)-1,MATCH("Cours EUR",'Inventaire M-1'!#REF!,0)))</f>
        <v>#REF!</v>
      </c>
      <c r="V430" s="175" t="str">
        <f>IF(R430="-","",IF(ISERROR(INDEX('Inventaire M'!$A$2:$AD$9319,MATCH(R430,'Inventaire M'!$A:$A,0)-1,MATCH("Cours EUR",'Inventaire M'!#REF!,0))),"Sell",INDEX('Inventaire M'!$A$2:$AD$9319,MATCH(R430,'Inventaire M'!$A:$A,0)-1,MATCH("Cours EUR",'Inventaire M'!#REF!,0))))</f>
        <v>Sell</v>
      </c>
      <c r="W430" s="175"/>
      <c r="X430" s="156" t="e">
        <f>IF(R430="-","",INDEX('Inventaire M-1'!$A$2:$AG$9334,MATCH(R430,'Inventaire M-1'!$A:$A,0)-1,MATCH("quantite",'Inventaire M-1'!#REF!,0)))</f>
        <v>#REF!</v>
      </c>
      <c r="Y430" s="156" t="str">
        <f>IF(S430="-","",IF(ISERROR(INDEX('Inventaire M'!$A$2:$AD$9319,MATCH(R430,'Inventaire M'!$A:$A,0)-1,MATCH("quantite",'Inventaire M'!#REF!,0))),"Sell",INDEX('Inventaire M'!$A$2:$AD$9319,MATCH(R430,'Inventaire M'!$A:$A,0)-1,MATCH("quantite",'Inventaire M'!#REF!,0))))</f>
        <v>Sell</v>
      </c>
      <c r="Z430" s="175"/>
      <c r="AA430" s="155" t="e">
        <f>IF(R430="-","",INDEX('Inventaire M-1'!$A$2:$AG$9334,MATCH(R430,'Inventaire M-1'!$A:$A,0)-1,MATCH("poids",'Inventaire M-1'!#REF!,0)))</f>
        <v>#REF!</v>
      </c>
      <c r="AB430" s="155" t="str">
        <f>IF(R430="-","",IF(ISERROR(INDEX('Inventaire M'!$A$2:$AD$9319,MATCH(R430,'Inventaire M'!$A:$A,0)-1,MATCH("poids",'Inventaire M'!#REF!,0))),"Sell",INDEX('Inventaire M'!$A$2:$AD$9319,MATCH(R430,'Inventaire M'!$A:$A,0)-1,MATCH("poids",'Inventaire M'!#REF!,0))))</f>
        <v>Sell</v>
      </c>
      <c r="AC430" s="175"/>
      <c r="AD430" s="157" t="str">
        <f t="shared" si="48"/>
        <v>0</v>
      </c>
      <c r="AE430" s="98" t="str">
        <f t="shared" si="49"/>
        <v/>
      </c>
      <c r="AF430" s="80" t="str">
        <f t="shared" si="50"/>
        <v>LUNA 25 SARL 5.5 01/07/2032</v>
      </c>
    </row>
    <row r="431" spans="2:32" outlineLevel="1">
      <c r="B431" s="175" t="str">
        <f>IF(OR('Inventaire M'!D209="Dispo/Liquidité Investie",'Inventaire M'!D209="Option/Future",'Inventaire M'!D209="TCN",'Inventaire M'!D209=""),"-",'Inventaire M'!A209)</f>
        <v>-</v>
      </c>
      <c r="C431" s="175" t="str">
        <f>IF(OR('Inventaire M'!D209="Dispo/Liquidité Investie",'Inventaire M'!D209="Option/Future",'Inventaire M'!D209="TCN",'Inventaire M'!D209=""),"-",'Inventaire M'!B209)</f>
        <v>-</v>
      </c>
      <c r="D431" s="175"/>
      <c r="E431" s="175" t="str">
        <f>IF(B431="-","",INDEX('Inventaire M'!$A$2:$AW$9305,MATCH(B431,'Inventaire M'!$A:$A,0)-1,MATCH("Cours EUR",'Inventaire M'!#REF!,0)))</f>
        <v/>
      </c>
      <c r="F431" s="175" t="str">
        <f>IF(B431="-","",IF(ISERROR(INDEX('Inventaire M-1'!$A$2:$AZ$9320,MATCH(B431,'Inventaire M-1'!$A:$A,0)-1,MATCH("Cours EUR",'Inventaire M-1'!#REF!,0))),"Buy",INDEX('Inventaire M-1'!$A$2:$AZ$9320,MATCH(B431,'Inventaire M-1'!$A:$A,0)-1,MATCH("Cours EUR",'Inventaire M-1'!#REF!,0))))</f>
        <v/>
      </c>
      <c r="G431" s="175"/>
      <c r="H431" s="156" t="str">
        <f>IF(B431="-","",INDEX('Inventaire M'!$A$2:$AW$9305,MATCH(B431,'Inventaire M'!$A:$A,0)-1,MATCH("quantite",'Inventaire M'!#REF!,0)))</f>
        <v/>
      </c>
      <c r="I431" s="156" t="str">
        <f>IF(C431="-","",IF(ISERROR(INDEX('Inventaire M-1'!$A$2:$AZ$9320,MATCH(B431,'Inventaire M-1'!$A:$A,0)-1,MATCH("quantite",'Inventaire M-1'!#REF!,0))),"Buy",INDEX('Inventaire M-1'!$A$2:$AZ$9320,MATCH(B431,'Inventaire M-1'!$A:$A,0)-1,MATCH("quantite",'Inventaire M-1'!#REF!,0))))</f>
        <v/>
      </c>
      <c r="J431" s="175"/>
      <c r="K431" s="155" t="str">
        <f>IF(B431="-","",INDEX('Inventaire M'!$A$2:$AW$9305,MATCH(B431,'Inventaire M'!$A:$A,0)-1,MATCH("poids",'Inventaire M'!#REF!,0)))</f>
        <v/>
      </c>
      <c r="L431" s="155" t="str">
        <f>IF(B431="-","",IF(ISERROR(INDEX('Inventaire M-1'!$A$2:$AZ$9320,MATCH(B431,'Inventaire M-1'!$A:$A,0)-1,MATCH("poids",'Inventaire M-1'!#REF!,0))),"Buy",INDEX('Inventaire M-1'!$A$2:$AZ$9320,MATCH(B431,'Inventaire M-1'!$A:$A,0)-1,MATCH("poids",'Inventaire M-1'!#REF!,0))))</f>
        <v/>
      </c>
      <c r="M431" s="175"/>
      <c r="N431" s="157" t="str">
        <f t="shared" si="42"/>
        <v>0</v>
      </c>
      <c r="O431" s="98" t="str">
        <f t="shared" si="43"/>
        <v/>
      </c>
      <c r="P431" s="80" t="str">
        <f t="shared" si="44"/>
        <v>-</v>
      </c>
      <c r="Q431" s="75">
        <v>4.07E-8</v>
      </c>
      <c r="R431" s="175" t="str">
        <f>IF(OR('Inventaire M-1'!D183="Dispo/Liquidité Investie",'Inventaire M-1'!D183="Option/Future",'Inventaire M-1'!D183="TCN",'Inventaire M-1'!D183=""),"-",'Inventaire M-1'!A183)</f>
        <v>XS3101363011</v>
      </c>
      <c r="S431" s="175" t="str">
        <f>IF(OR('Inventaire M-1'!D183="Dispo/Liquidité Investie",'Inventaire M-1'!D183="Option/Future",'Inventaire M-1'!D183="TCN",'Inventaire M-1'!D183=""),"-",'Inventaire M-1'!B183)</f>
        <v>TEAMSYSTEM SPA 5 01/07/2031</v>
      </c>
      <c r="T431" s="175"/>
      <c r="U431" s="175" t="e">
        <f>IF(R431="-","",INDEX('Inventaire M-1'!$A$2:$AG$9334,MATCH(R431,'Inventaire M-1'!$A:$A,0)-1,MATCH("Cours EUR",'Inventaire M-1'!#REF!,0)))</f>
        <v>#REF!</v>
      </c>
      <c r="V431" s="175" t="str">
        <f>IF(R431="-","",IF(ISERROR(INDEX('Inventaire M'!$A$2:$AD$9319,MATCH(R431,'Inventaire M'!$A:$A,0)-1,MATCH("Cours EUR",'Inventaire M'!#REF!,0))),"Sell",INDEX('Inventaire M'!$A$2:$AD$9319,MATCH(R431,'Inventaire M'!$A:$A,0)-1,MATCH("Cours EUR",'Inventaire M'!#REF!,0))))</f>
        <v>Sell</v>
      </c>
      <c r="W431" s="175"/>
      <c r="X431" s="156" t="e">
        <f>IF(R431="-","",INDEX('Inventaire M-1'!$A$2:$AG$9334,MATCH(R431,'Inventaire M-1'!$A:$A,0)-1,MATCH("quantite",'Inventaire M-1'!#REF!,0)))</f>
        <v>#REF!</v>
      </c>
      <c r="Y431" s="156" t="str">
        <f>IF(S431="-","",IF(ISERROR(INDEX('Inventaire M'!$A$2:$AD$9319,MATCH(R431,'Inventaire M'!$A:$A,0)-1,MATCH("quantite",'Inventaire M'!#REF!,0))),"Sell",INDEX('Inventaire M'!$A$2:$AD$9319,MATCH(R431,'Inventaire M'!$A:$A,0)-1,MATCH("quantite",'Inventaire M'!#REF!,0))))</f>
        <v>Sell</v>
      </c>
      <c r="Z431" s="175"/>
      <c r="AA431" s="155" t="e">
        <f>IF(R431="-","",INDEX('Inventaire M-1'!$A$2:$AG$9334,MATCH(R431,'Inventaire M-1'!$A:$A,0)-1,MATCH("poids",'Inventaire M-1'!#REF!,0)))</f>
        <v>#REF!</v>
      </c>
      <c r="AB431" s="155" t="str">
        <f>IF(R431="-","",IF(ISERROR(INDEX('Inventaire M'!$A$2:$AD$9319,MATCH(R431,'Inventaire M'!$A:$A,0)-1,MATCH("poids",'Inventaire M'!#REF!,0))),"Sell",INDEX('Inventaire M'!$A$2:$AD$9319,MATCH(R431,'Inventaire M'!$A:$A,0)-1,MATCH("poids",'Inventaire M'!#REF!,0))))</f>
        <v>Sell</v>
      </c>
      <c r="AC431" s="175"/>
      <c r="AD431" s="157" t="str">
        <f t="shared" si="48"/>
        <v>0</v>
      </c>
      <c r="AE431" s="98" t="str">
        <f t="shared" si="49"/>
        <v/>
      </c>
      <c r="AF431" s="80" t="str">
        <f t="shared" si="50"/>
        <v>TEAMSYSTEM SPA 5 01/07/2031</v>
      </c>
    </row>
    <row r="432" spans="2:32" outlineLevel="1">
      <c r="B432" s="175" t="str">
        <f>IF(OR('Inventaire M'!D210="Dispo/Liquidité Investie",'Inventaire M'!D210="Option/Future",'Inventaire M'!D210="TCN",'Inventaire M'!D210=""),"-",'Inventaire M'!A210)</f>
        <v>-</v>
      </c>
      <c r="C432" s="175" t="str">
        <f>IF(OR('Inventaire M'!D210="Dispo/Liquidité Investie",'Inventaire M'!D210="Option/Future",'Inventaire M'!D210="TCN",'Inventaire M'!D210=""),"-",'Inventaire M'!B210)</f>
        <v>-</v>
      </c>
      <c r="D432" s="175"/>
      <c r="E432" s="175" t="str">
        <f>IF(B432="-","",INDEX('Inventaire M'!$A$2:$AW$9305,MATCH(B432,'Inventaire M'!$A:$A,0)-1,MATCH("Cours EUR",'Inventaire M'!#REF!,0)))</f>
        <v/>
      </c>
      <c r="F432" s="175" t="str">
        <f>IF(B432="-","",IF(ISERROR(INDEX('Inventaire M-1'!$A$2:$AZ$9320,MATCH(B432,'Inventaire M-1'!$A:$A,0)-1,MATCH("Cours EUR",'Inventaire M-1'!#REF!,0))),"Buy",INDEX('Inventaire M-1'!$A$2:$AZ$9320,MATCH(B432,'Inventaire M-1'!$A:$A,0)-1,MATCH("Cours EUR",'Inventaire M-1'!#REF!,0))))</f>
        <v/>
      </c>
      <c r="G432" s="175"/>
      <c r="H432" s="156" t="str">
        <f>IF(B432="-","",INDEX('Inventaire M'!$A$2:$AW$9305,MATCH(B432,'Inventaire M'!$A:$A,0)-1,MATCH("quantite",'Inventaire M'!#REF!,0)))</f>
        <v/>
      </c>
      <c r="I432" s="156" t="str">
        <f>IF(C432="-","",IF(ISERROR(INDEX('Inventaire M-1'!$A$2:$AZ$9320,MATCH(B432,'Inventaire M-1'!$A:$A,0)-1,MATCH("quantite",'Inventaire M-1'!#REF!,0))),"Buy",INDEX('Inventaire M-1'!$A$2:$AZ$9320,MATCH(B432,'Inventaire M-1'!$A:$A,0)-1,MATCH("quantite",'Inventaire M-1'!#REF!,0))))</f>
        <v/>
      </c>
      <c r="J432" s="175"/>
      <c r="K432" s="155" t="str">
        <f>IF(B432="-","",INDEX('Inventaire M'!$A$2:$AW$9305,MATCH(B432,'Inventaire M'!$A:$A,0)-1,MATCH("poids",'Inventaire M'!#REF!,0)))</f>
        <v/>
      </c>
      <c r="L432" s="155" t="str">
        <f>IF(B432="-","",IF(ISERROR(INDEX('Inventaire M-1'!$A$2:$AZ$9320,MATCH(B432,'Inventaire M-1'!$A:$A,0)-1,MATCH("poids",'Inventaire M-1'!#REF!,0))),"Buy",INDEX('Inventaire M-1'!$A$2:$AZ$9320,MATCH(B432,'Inventaire M-1'!$A:$A,0)-1,MATCH("poids",'Inventaire M-1'!#REF!,0))))</f>
        <v/>
      </c>
      <c r="M432" s="175"/>
      <c r="N432" s="157" t="str">
        <f t="shared" si="42"/>
        <v>0</v>
      </c>
      <c r="O432" s="98" t="str">
        <f t="shared" si="43"/>
        <v/>
      </c>
      <c r="P432" s="80" t="str">
        <f t="shared" si="44"/>
        <v>-</v>
      </c>
      <c r="Q432" s="75">
        <v>4.0800000000000001E-8</v>
      </c>
      <c r="R432" s="175" t="str">
        <f>IF(OR('Inventaire M-1'!D184="Dispo/Liquidité Investie",'Inventaire M-1'!D184="Option/Future",'Inventaire M-1'!D184="TCN",'Inventaire M-1'!D184=""),"-",'Inventaire M-1'!A184)</f>
        <v>XS3104473312</v>
      </c>
      <c r="S432" s="175" t="str">
        <f>IF(OR('Inventaire M-1'!D184="Dispo/Liquidité Investie",'Inventaire M-1'!D184="Option/Future",'Inventaire M-1'!D184="TCN",'Inventaire M-1'!D184=""),"-",'Inventaire M-1'!B184)</f>
        <v>ALEXANDRITE LAKE LUX HOLDINGS SARL 6.75 30/07/2030</v>
      </c>
      <c r="T432" s="175"/>
      <c r="U432" s="175" t="e">
        <f>IF(R432="-","",INDEX('Inventaire M-1'!$A$2:$AG$9334,MATCH(R432,'Inventaire M-1'!$A:$A,0)-1,MATCH("Cours EUR",'Inventaire M-1'!#REF!,0)))</f>
        <v>#REF!</v>
      </c>
      <c r="V432" s="175" t="str">
        <f>IF(R432="-","",IF(ISERROR(INDEX('Inventaire M'!$A$2:$AD$9319,MATCH(R432,'Inventaire M'!$A:$A,0)-1,MATCH("Cours EUR",'Inventaire M'!#REF!,0))),"Sell",INDEX('Inventaire M'!$A$2:$AD$9319,MATCH(R432,'Inventaire M'!$A:$A,0)-1,MATCH("Cours EUR",'Inventaire M'!#REF!,0))))</f>
        <v>Sell</v>
      </c>
      <c r="W432" s="175"/>
      <c r="X432" s="156" t="e">
        <f>IF(R432="-","",INDEX('Inventaire M-1'!$A$2:$AG$9334,MATCH(R432,'Inventaire M-1'!$A:$A,0)-1,MATCH("quantite",'Inventaire M-1'!#REF!,0)))</f>
        <v>#REF!</v>
      </c>
      <c r="Y432" s="156" t="str">
        <f>IF(S432="-","",IF(ISERROR(INDEX('Inventaire M'!$A$2:$AD$9319,MATCH(R432,'Inventaire M'!$A:$A,0)-1,MATCH("quantite",'Inventaire M'!#REF!,0))),"Sell",INDEX('Inventaire M'!$A$2:$AD$9319,MATCH(R432,'Inventaire M'!$A:$A,0)-1,MATCH("quantite",'Inventaire M'!#REF!,0))))</f>
        <v>Sell</v>
      </c>
      <c r="Z432" s="175"/>
      <c r="AA432" s="155" t="e">
        <f>IF(R432="-","",INDEX('Inventaire M-1'!$A$2:$AG$9334,MATCH(R432,'Inventaire M-1'!$A:$A,0)-1,MATCH("poids",'Inventaire M-1'!#REF!,0)))</f>
        <v>#REF!</v>
      </c>
      <c r="AB432" s="155" t="str">
        <f>IF(R432="-","",IF(ISERROR(INDEX('Inventaire M'!$A$2:$AD$9319,MATCH(R432,'Inventaire M'!$A:$A,0)-1,MATCH("poids",'Inventaire M'!#REF!,0))),"Sell",INDEX('Inventaire M'!$A$2:$AD$9319,MATCH(R432,'Inventaire M'!$A:$A,0)-1,MATCH("poids",'Inventaire M'!#REF!,0))))</f>
        <v>Sell</v>
      </c>
      <c r="AC432" s="175"/>
      <c r="AD432" s="157" t="str">
        <f t="shared" si="48"/>
        <v>0</v>
      </c>
      <c r="AE432" s="98" t="str">
        <f t="shared" si="49"/>
        <v/>
      </c>
      <c r="AF432" s="80" t="str">
        <f t="shared" si="50"/>
        <v>ALEXANDRITE LAKE LUX HOLDINGS SARL 6.75 30/07/2030</v>
      </c>
    </row>
    <row r="433" spans="2:32" outlineLevel="1">
      <c r="B433" s="175" t="str">
        <f>IF(OR('Inventaire M'!D211="Dispo/Liquidité Investie",'Inventaire M'!D211="Option/Future",'Inventaire M'!D211="TCN",'Inventaire M'!D211=""),"-",'Inventaire M'!A211)</f>
        <v>-</v>
      </c>
      <c r="C433" s="175" t="str">
        <f>IF(OR('Inventaire M'!D211="Dispo/Liquidité Investie",'Inventaire M'!D211="Option/Future",'Inventaire M'!D211="TCN",'Inventaire M'!D211=""),"-",'Inventaire M'!B211)</f>
        <v>-</v>
      </c>
      <c r="D433" s="175"/>
      <c r="E433" s="175" t="str">
        <f>IF(B433="-","",INDEX('Inventaire M'!$A$2:$AW$9305,MATCH(B433,'Inventaire M'!$A:$A,0)-1,MATCH("Cours EUR",'Inventaire M'!#REF!,0)))</f>
        <v/>
      </c>
      <c r="F433" s="175" t="str">
        <f>IF(B433="-","",IF(ISERROR(INDEX('Inventaire M-1'!$A$2:$AZ$9320,MATCH(B433,'Inventaire M-1'!$A:$A,0)-1,MATCH("Cours EUR",'Inventaire M-1'!#REF!,0))),"Buy",INDEX('Inventaire M-1'!$A$2:$AZ$9320,MATCH(B433,'Inventaire M-1'!$A:$A,0)-1,MATCH("Cours EUR",'Inventaire M-1'!#REF!,0))))</f>
        <v/>
      </c>
      <c r="G433" s="175"/>
      <c r="H433" s="156" t="str">
        <f>IF(B433="-","",INDEX('Inventaire M'!$A$2:$AW$9305,MATCH(B433,'Inventaire M'!$A:$A,0)-1,MATCH("quantite",'Inventaire M'!#REF!,0)))</f>
        <v/>
      </c>
      <c r="I433" s="156" t="str">
        <f>IF(C433="-","",IF(ISERROR(INDEX('Inventaire M-1'!$A$2:$AZ$9320,MATCH(B433,'Inventaire M-1'!$A:$A,0)-1,MATCH("quantite",'Inventaire M-1'!#REF!,0))),"Buy",INDEX('Inventaire M-1'!$A$2:$AZ$9320,MATCH(B433,'Inventaire M-1'!$A:$A,0)-1,MATCH("quantite",'Inventaire M-1'!#REF!,0))))</f>
        <v/>
      </c>
      <c r="J433" s="175"/>
      <c r="K433" s="155" t="str">
        <f>IF(B433="-","",INDEX('Inventaire M'!$A$2:$AW$9305,MATCH(B433,'Inventaire M'!$A:$A,0)-1,MATCH("poids",'Inventaire M'!#REF!,0)))</f>
        <v/>
      </c>
      <c r="L433" s="155" t="str">
        <f>IF(B433="-","",IF(ISERROR(INDEX('Inventaire M-1'!$A$2:$AZ$9320,MATCH(B433,'Inventaire M-1'!$A:$A,0)-1,MATCH("poids",'Inventaire M-1'!#REF!,0))),"Buy",INDEX('Inventaire M-1'!$A$2:$AZ$9320,MATCH(B433,'Inventaire M-1'!$A:$A,0)-1,MATCH("poids",'Inventaire M-1'!#REF!,0))))</f>
        <v/>
      </c>
      <c r="M433" s="175"/>
      <c r="N433" s="157" t="str">
        <f t="shared" si="42"/>
        <v>0</v>
      </c>
      <c r="O433" s="98" t="str">
        <f t="shared" si="43"/>
        <v/>
      </c>
      <c r="P433" s="80" t="str">
        <f t="shared" si="44"/>
        <v>-</v>
      </c>
      <c r="Q433" s="75">
        <v>4.0900000000000002E-8</v>
      </c>
      <c r="R433" s="175" t="str">
        <f>IF(OR('Inventaire M-1'!D185="Dispo/Liquidité Investie",'Inventaire M-1'!D185="Option/Future",'Inventaire M-1'!D185="TCN",'Inventaire M-1'!D185=""),"-",'Inventaire M-1'!A185)</f>
        <v>XS3104481414</v>
      </c>
      <c r="S433" s="175" t="str">
        <f>IF(OR('Inventaire M-1'!D185="Dispo/Liquidité Investie",'Inventaire M-1'!D185="Option/Future",'Inventaire M-1'!D185="TCN",'Inventaire M-1'!D185=""),"-",'Inventaire M-1'!B185)</f>
        <v>FIBERCOP SPA 5.125 30/06/2032</v>
      </c>
      <c r="T433" s="175"/>
      <c r="U433" s="175" t="e">
        <f>IF(R433="-","",INDEX('Inventaire M-1'!$A$2:$AG$9334,MATCH(R433,'Inventaire M-1'!$A:$A,0)-1,MATCH("Cours EUR",'Inventaire M-1'!#REF!,0)))</f>
        <v>#REF!</v>
      </c>
      <c r="V433" s="175" t="str">
        <f>IF(R433="-","",IF(ISERROR(INDEX('Inventaire M'!$A$2:$AD$9319,MATCH(R433,'Inventaire M'!$A:$A,0)-1,MATCH("Cours EUR",'Inventaire M'!#REF!,0))),"Sell",INDEX('Inventaire M'!$A$2:$AD$9319,MATCH(R433,'Inventaire M'!$A:$A,0)-1,MATCH("Cours EUR",'Inventaire M'!#REF!,0))))</f>
        <v>Sell</v>
      </c>
      <c r="W433" s="175"/>
      <c r="X433" s="156" t="e">
        <f>IF(R433="-","",INDEX('Inventaire M-1'!$A$2:$AG$9334,MATCH(R433,'Inventaire M-1'!$A:$A,0)-1,MATCH("quantite",'Inventaire M-1'!#REF!,0)))</f>
        <v>#REF!</v>
      </c>
      <c r="Y433" s="156" t="str">
        <f>IF(S433="-","",IF(ISERROR(INDEX('Inventaire M'!$A$2:$AD$9319,MATCH(R433,'Inventaire M'!$A:$A,0)-1,MATCH("quantite",'Inventaire M'!#REF!,0))),"Sell",INDEX('Inventaire M'!$A$2:$AD$9319,MATCH(R433,'Inventaire M'!$A:$A,0)-1,MATCH("quantite",'Inventaire M'!#REF!,0))))</f>
        <v>Sell</v>
      </c>
      <c r="Z433" s="175"/>
      <c r="AA433" s="155" t="e">
        <f>IF(R433="-","",INDEX('Inventaire M-1'!$A$2:$AG$9334,MATCH(R433,'Inventaire M-1'!$A:$A,0)-1,MATCH("poids",'Inventaire M-1'!#REF!,0)))</f>
        <v>#REF!</v>
      </c>
      <c r="AB433" s="155" t="str">
        <f>IF(R433="-","",IF(ISERROR(INDEX('Inventaire M'!$A$2:$AD$9319,MATCH(R433,'Inventaire M'!$A:$A,0)-1,MATCH("poids",'Inventaire M'!#REF!,0))),"Sell",INDEX('Inventaire M'!$A$2:$AD$9319,MATCH(R433,'Inventaire M'!$A:$A,0)-1,MATCH("poids",'Inventaire M'!#REF!,0))))</f>
        <v>Sell</v>
      </c>
      <c r="AC433" s="175"/>
      <c r="AD433" s="157" t="str">
        <f t="shared" si="48"/>
        <v>0</v>
      </c>
      <c r="AE433" s="98" t="str">
        <f t="shared" si="49"/>
        <v/>
      </c>
      <c r="AF433" s="80" t="str">
        <f t="shared" si="50"/>
        <v>FIBERCOP SPA 5.125 30/06/2032</v>
      </c>
    </row>
    <row r="434" spans="2:32" outlineLevel="1">
      <c r="B434" s="175" t="str">
        <f>IF(OR('Inventaire M'!D212="Dispo/Liquidité Investie",'Inventaire M'!D212="Option/Future",'Inventaire M'!D212="TCN",'Inventaire M'!D212=""),"-",'Inventaire M'!A212)</f>
        <v>-</v>
      </c>
      <c r="C434" s="175" t="str">
        <f>IF(OR('Inventaire M'!D212="Dispo/Liquidité Investie",'Inventaire M'!D212="Option/Future",'Inventaire M'!D212="TCN",'Inventaire M'!D212=""),"-",'Inventaire M'!B212)</f>
        <v>-</v>
      </c>
      <c r="D434" s="175"/>
      <c r="E434" s="175" t="str">
        <f>IF(B434="-","",INDEX('Inventaire M'!$A$2:$AW$9305,MATCH(B434,'Inventaire M'!$A:$A,0)-1,MATCH("Cours EUR",'Inventaire M'!#REF!,0)))</f>
        <v/>
      </c>
      <c r="F434" s="175" t="str">
        <f>IF(B434="-","",IF(ISERROR(INDEX('Inventaire M-1'!$A$2:$AZ$9320,MATCH(B434,'Inventaire M-1'!$A:$A,0)-1,MATCH("Cours EUR",'Inventaire M-1'!#REF!,0))),"Buy",INDEX('Inventaire M-1'!$A$2:$AZ$9320,MATCH(B434,'Inventaire M-1'!$A:$A,0)-1,MATCH("Cours EUR",'Inventaire M-1'!#REF!,0))))</f>
        <v/>
      </c>
      <c r="G434" s="175"/>
      <c r="H434" s="156" t="str">
        <f>IF(B434="-","",INDEX('Inventaire M'!$A$2:$AW$9305,MATCH(B434,'Inventaire M'!$A:$A,0)-1,MATCH("quantite",'Inventaire M'!#REF!,0)))</f>
        <v/>
      </c>
      <c r="I434" s="156" t="str">
        <f>IF(C434="-","",IF(ISERROR(INDEX('Inventaire M-1'!$A$2:$AZ$9320,MATCH(B434,'Inventaire M-1'!$A:$A,0)-1,MATCH("quantite",'Inventaire M-1'!#REF!,0))),"Buy",INDEX('Inventaire M-1'!$A$2:$AZ$9320,MATCH(B434,'Inventaire M-1'!$A:$A,0)-1,MATCH("quantite",'Inventaire M-1'!#REF!,0))))</f>
        <v/>
      </c>
      <c r="J434" s="175"/>
      <c r="K434" s="155" t="str">
        <f>IF(B434="-","",INDEX('Inventaire M'!$A$2:$AW$9305,MATCH(B434,'Inventaire M'!$A:$A,0)-1,MATCH("poids",'Inventaire M'!#REF!,0)))</f>
        <v/>
      </c>
      <c r="L434" s="155" t="str">
        <f>IF(B434="-","",IF(ISERROR(INDEX('Inventaire M-1'!$A$2:$AZ$9320,MATCH(B434,'Inventaire M-1'!$A:$A,0)-1,MATCH("poids",'Inventaire M-1'!#REF!,0))),"Buy",INDEX('Inventaire M-1'!$A$2:$AZ$9320,MATCH(B434,'Inventaire M-1'!$A:$A,0)-1,MATCH("poids",'Inventaire M-1'!#REF!,0))))</f>
        <v/>
      </c>
      <c r="M434" s="175"/>
      <c r="N434" s="157" t="str">
        <f t="shared" si="42"/>
        <v>0</v>
      </c>
      <c r="O434" s="98" t="str">
        <f t="shared" si="43"/>
        <v/>
      </c>
      <c r="P434" s="80" t="str">
        <f t="shared" si="44"/>
        <v>-</v>
      </c>
      <c r="Q434" s="75">
        <v>4.1000000000000003E-8</v>
      </c>
      <c r="R434" s="175" t="str">
        <f>IF(OR('Inventaire M-1'!D186="Dispo/Liquidité Investie",'Inventaire M-1'!D186="Option/Future",'Inventaire M-1'!D186="TCN",'Inventaire M-1'!D186=""),"-",'Inventaire M-1'!A186)</f>
        <v>XS3106724241</v>
      </c>
      <c r="S434" s="175" t="str">
        <f>IF(OR('Inventaire M-1'!D186="Dispo/Liquidité Investie",'Inventaire M-1'!D186="Option/Future",'Inventaire M-1'!D186="TCN",'Inventaire M-1'!D186=""),"-",'Inventaire M-1'!B186)</f>
        <v>DOLCETTO HOLDCO SPA 5.625 14/07/2032</v>
      </c>
      <c r="T434" s="175"/>
      <c r="U434" s="175" t="e">
        <f>IF(R434="-","",INDEX('Inventaire M-1'!$A$2:$AG$9334,MATCH(R434,'Inventaire M-1'!$A:$A,0)-1,MATCH("Cours EUR",'Inventaire M-1'!#REF!,0)))</f>
        <v>#REF!</v>
      </c>
      <c r="V434" s="175" t="str">
        <f>IF(R434="-","",IF(ISERROR(INDEX('Inventaire M'!$A$2:$AD$9319,MATCH(R434,'Inventaire M'!$A:$A,0)-1,MATCH("Cours EUR",'Inventaire M'!#REF!,0))),"Sell",INDEX('Inventaire M'!$A$2:$AD$9319,MATCH(R434,'Inventaire M'!$A:$A,0)-1,MATCH("Cours EUR",'Inventaire M'!#REF!,0))))</f>
        <v>Sell</v>
      </c>
      <c r="W434" s="175"/>
      <c r="X434" s="156" t="e">
        <f>IF(R434="-","",INDEX('Inventaire M-1'!$A$2:$AG$9334,MATCH(R434,'Inventaire M-1'!$A:$A,0)-1,MATCH("quantite",'Inventaire M-1'!#REF!,0)))</f>
        <v>#REF!</v>
      </c>
      <c r="Y434" s="156" t="str">
        <f>IF(S434="-","",IF(ISERROR(INDEX('Inventaire M'!$A$2:$AD$9319,MATCH(R434,'Inventaire M'!$A:$A,0)-1,MATCH("quantite",'Inventaire M'!#REF!,0))),"Sell",INDEX('Inventaire M'!$A$2:$AD$9319,MATCH(R434,'Inventaire M'!$A:$A,0)-1,MATCH("quantite",'Inventaire M'!#REF!,0))))</f>
        <v>Sell</v>
      </c>
      <c r="Z434" s="175"/>
      <c r="AA434" s="155" t="e">
        <f>IF(R434="-","",INDEX('Inventaire M-1'!$A$2:$AG$9334,MATCH(R434,'Inventaire M-1'!$A:$A,0)-1,MATCH("poids",'Inventaire M-1'!#REF!,0)))</f>
        <v>#REF!</v>
      </c>
      <c r="AB434" s="155" t="str">
        <f>IF(R434="-","",IF(ISERROR(INDEX('Inventaire M'!$A$2:$AD$9319,MATCH(R434,'Inventaire M'!$A:$A,0)-1,MATCH("poids",'Inventaire M'!#REF!,0))),"Sell",INDEX('Inventaire M'!$A$2:$AD$9319,MATCH(R434,'Inventaire M'!$A:$A,0)-1,MATCH("poids",'Inventaire M'!#REF!,0))))</f>
        <v>Sell</v>
      </c>
      <c r="AC434" s="175"/>
      <c r="AD434" s="157" t="str">
        <f t="shared" si="48"/>
        <v>0</v>
      </c>
      <c r="AE434" s="98" t="str">
        <f t="shared" si="49"/>
        <v/>
      </c>
      <c r="AF434" s="80" t="str">
        <f t="shared" si="50"/>
        <v>DOLCETTO HOLDCO SPA 5.625 14/07/2032</v>
      </c>
    </row>
    <row r="435" spans="2:32" outlineLevel="1">
      <c r="B435" s="175" t="str">
        <f>IF(OR('Inventaire M'!D213="Dispo/Liquidité Investie",'Inventaire M'!D213="Option/Future",'Inventaire M'!D213="TCN",'Inventaire M'!D213=""),"-",'Inventaire M'!A213)</f>
        <v>-</v>
      </c>
      <c r="C435" s="175" t="str">
        <f>IF(OR('Inventaire M'!D213="Dispo/Liquidité Investie",'Inventaire M'!D213="Option/Future",'Inventaire M'!D213="TCN",'Inventaire M'!D213=""),"-",'Inventaire M'!B213)</f>
        <v>-</v>
      </c>
      <c r="D435" s="175"/>
      <c r="E435" s="175" t="str">
        <f>IF(B435="-","",INDEX('Inventaire M'!$A$2:$AW$9305,MATCH(B435,'Inventaire M'!$A:$A,0)-1,MATCH("Cours EUR",'Inventaire M'!#REF!,0)))</f>
        <v/>
      </c>
      <c r="F435" s="175" t="str">
        <f>IF(B435="-","",IF(ISERROR(INDEX('Inventaire M-1'!$A$2:$AZ$9320,MATCH(B435,'Inventaire M-1'!$A:$A,0)-1,MATCH("Cours EUR",'Inventaire M-1'!#REF!,0))),"Buy",INDEX('Inventaire M-1'!$A$2:$AZ$9320,MATCH(B435,'Inventaire M-1'!$A:$A,0)-1,MATCH("Cours EUR",'Inventaire M-1'!#REF!,0))))</f>
        <v/>
      </c>
      <c r="G435" s="175"/>
      <c r="H435" s="156" t="str">
        <f>IF(B435="-","",INDEX('Inventaire M'!$A$2:$AW$9305,MATCH(B435,'Inventaire M'!$A:$A,0)-1,MATCH("quantite",'Inventaire M'!#REF!,0)))</f>
        <v/>
      </c>
      <c r="I435" s="156" t="str">
        <f>IF(C435="-","",IF(ISERROR(INDEX('Inventaire M-1'!$A$2:$AZ$9320,MATCH(B435,'Inventaire M-1'!$A:$A,0)-1,MATCH("quantite",'Inventaire M-1'!#REF!,0))),"Buy",INDEX('Inventaire M-1'!$A$2:$AZ$9320,MATCH(B435,'Inventaire M-1'!$A:$A,0)-1,MATCH("quantite",'Inventaire M-1'!#REF!,0))))</f>
        <v/>
      </c>
      <c r="J435" s="175"/>
      <c r="K435" s="155" t="str">
        <f>IF(B435="-","",INDEX('Inventaire M'!$A$2:$AW$9305,MATCH(B435,'Inventaire M'!$A:$A,0)-1,MATCH("poids",'Inventaire M'!#REF!,0)))</f>
        <v/>
      </c>
      <c r="L435" s="155" t="str">
        <f>IF(B435="-","",IF(ISERROR(INDEX('Inventaire M-1'!$A$2:$AZ$9320,MATCH(B435,'Inventaire M-1'!$A:$A,0)-1,MATCH("poids",'Inventaire M-1'!#REF!,0))),"Buy",INDEX('Inventaire M-1'!$A$2:$AZ$9320,MATCH(B435,'Inventaire M-1'!$A:$A,0)-1,MATCH("poids",'Inventaire M-1'!#REF!,0))))</f>
        <v/>
      </c>
      <c r="M435" s="175"/>
      <c r="N435" s="157" t="str">
        <f t="shared" si="42"/>
        <v>0</v>
      </c>
      <c r="O435" s="98" t="str">
        <f t="shared" si="43"/>
        <v/>
      </c>
      <c r="P435" s="80" t="str">
        <f t="shared" si="44"/>
        <v>-</v>
      </c>
      <c r="Q435" s="75">
        <v>4.1099999999999997E-8</v>
      </c>
      <c r="R435" s="175" t="str">
        <f>IF(OR('Inventaire M-1'!D187="Dispo/Liquidité Investie",'Inventaire M-1'!D187="Option/Future",'Inventaire M-1'!D187="TCN",'Inventaire M-1'!D187=""),"-",'Inventaire M-1'!A187)</f>
        <v>XS3109433048</v>
      </c>
      <c r="S435" s="175" t="str">
        <f>IF(OR('Inventaire M-1'!D187="Dispo/Liquidité Investie",'Inventaire M-1'!D187="Option/Future",'Inventaire M-1'!D187="TCN",'Inventaire M-1'!D187=""),"-",'Inventaire M-1'!B187)</f>
        <v>BEACH ACQUISITION BIDCO LLC 5.25 15/07/2032</v>
      </c>
      <c r="T435" s="175"/>
      <c r="U435" s="175" t="e">
        <f>IF(R435="-","",INDEX('Inventaire M-1'!$A$2:$AG$9334,MATCH(R435,'Inventaire M-1'!$A:$A,0)-1,MATCH("Cours EUR",'Inventaire M-1'!#REF!,0)))</f>
        <v>#REF!</v>
      </c>
      <c r="V435" s="175" t="str">
        <f>IF(R435="-","",IF(ISERROR(INDEX('Inventaire M'!$A$2:$AD$9319,MATCH(R435,'Inventaire M'!$A:$A,0)-1,MATCH("Cours EUR",'Inventaire M'!#REF!,0))),"Sell",INDEX('Inventaire M'!$A$2:$AD$9319,MATCH(R435,'Inventaire M'!$A:$A,0)-1,MATCH("Cours EUR",'Inventaire M'!#REF!,0))))</f>
        <v>Sell</v>
      </c>
      <c r="W435" s="175"/>
      <c r="X435" s="156" t="e">
        <f>IF(R435="-","",INDEX('Inventaire M-1'!$A$2:$AG$9334,MATCH(R435,'Inventaire M-1'!$A:$A,0)-1,MATCH("quantite",'Inventaire M-1'!#REF!,0)))</f>
        <v>#REF!</v>
      </c>
      <c r="Y435" s="156" t="str">
        <f>IF(S435="-","",IF(ISERROR(INDEX('Inventaire M'!$A$2:$AD$9319,MATCH(R435,'Inventaire M'!$A:$A,0)-1,MATCH("quantite",'Inventaire M'!#REF!,0))),"Sell",INDEX('Inventaire M'!$A$2:$AD$9319,MATCH(R435,'Inventaire M'!$A:$A,0)-1,MATCH("quantite",'Inventaire M'!#REF!,0))))</f>
        <v>Sell</v>
      </c>
      <c r="Z435" s="175"/>
      <c r="AA435" s="155" t="e">
        <f>IF(R435="-","",INDEX('Inventaire M-1'!$A$2:$AG$9334,MATCH(R435,'Inventaire M-1'!$A:$A,0)-1,MATCH("poids",'Inventaire M-1'!#REF!,0)))</f>
        <v>#REF!</v>
      </c>
      <c r="AB435" s="155" t="str">
        <f>IF(R435="-","",IF(ISERROR(INDEX('Inventaire M'!$A$2:$AD$9319,MATCH(R435,'Inventaire M'!$A:$A,0)-1,MATCH("poids",'Inventaire M'!#REF!,0))),"Sell",INDEX('Inventaire M'!$A$2:$AD$9319,MATCH(R435,'Inventaire M'!$A:$A,0)-1,MATCH("poids",'Inventaire M'!#REF!,0))))</f>
        <v>Sell</v>
      </c>
      <c r="AC435" s="175"/>
      <c r="AD435" s="157" t="str">
        <f t="shared" si="48"/>
        <v>0</v>
      </c>
      <c r="AE435" s="98" t="str">
        <f t="shared" si="49"/>
        <v/>
      </c>
      <c r="AF435" s="80" t="str">
        <f t="shared" si="50"/>
        <v>BEACH ACQUISITION BIDCO LLC 5.25 15/07/2032</v>
      </c>
    </row>
    <row r="436" spans="2:32" outlineLevel="1">
      <c r="B436" s="175" t="str">
        <f>IF(OR('Inventaire M'!D214="Dispo/Liquidité Investie",'Inventaire M'!D214="Option/Future",'Inventaire M'!D214="TCN",'Inventaire M'!D214=""),"-",'Inventaire M'!A214)</f>
        <v>-</v>
      </c>
      <c r="C436" s="175" t="str">
        <f>IF(OR('Inventaire M'!D214="Dispo/Liquidité Investie",'Inventaire M'!D214="Option/Future",'Inventaire M'!D214="TCN",'Inventaire M'!D214=""),"-",'Inventaire M'!B214)</f>
        <v>-</v>
      </c>
      <c r="D436" s="175"/>
      <c r="E436" s="175" t="str">
        <f>IF(B436="-","",INDEX('Inventaire M'!$A$2:$AW$9305,MATCH(B436,'Inventaire M'!$A:$A,0)-1,MATCH("Cours EUR",'Inventaire M'!#REF!,0)))</f>
        <v/>
      </c>
      <c r="F436" s="175" t="str">
        <f>IF(B436="-","",IF(ISERROR(INDEX('Inventaire M-1'!$A$2:$AZ$9320,MATCH(B436,'Inventaire M-1'!$A:$A,0)-1,MATCH("Cours EUR",'Inventaire M-1'!#REF!,0))),"Buy",INDEX('Inventaire M-1'!$A$2:$AZ$9320,MATCH(B436,'Inventaire M-1'!$A:$A,0)-1,MATCH("Cours EUR",'Inventaire M-1'!#REF!,0))))</f>
        <v/>
      </c>
      <c r="G436" s="175"/>
      <c r="H436" s="156" t="str">
        <f>IF(B436="-","",INDEX('Inventaire M'!$A$2:$AW$9305,MATCH(B436,'Inventaire M'!$A:$A,0)-1,MATCH("quantite",'Inventaire M'!#REF!,0)))</f>
        <v/>
      </c>
      <c r="I436" s="156" t="str">
        <f>IF(C436="-","",IF(ISERROR(INDEX('Inventaire M-1'!$A$2:$AZ$9320,MATCH(B436,'Inventaire M-1'!$A:$A,0)-1,MATCH("quantite",'Inventaire M-1'!#REF!,0))),"Buy",INDEX('Inventaire M-1'!$A$2:$AZ$9320,MATCH(B436,'Inventaire M-1'!$A:$A,0)-1,MATCH("quantite",'Inventaire M-1'!#REF!,0))))</f>
        <v/>
      </c>
      <c r="J436" s="175"/>
      <c r="K436" s="155" t="str">
        <f>IF(B436="-","",INDEX('Inventaire M'!$A$2:$AW$9305,MATCH(B436,'Inventaire M'!$A:$A,0)-1,MATCH("poids",'Inventaire M'!#REF!,0)))</f>
        <v/>
      </c>
      <c r="L436" s="155" t="str">
        <f>IF(B436="-","",IF(ISERROR(INDEX('Inventaire M-1'!$A$2:$AZ$9320,MATCH(B436,'Inventaire M-1'!$A:$A,0)-1,MATCH("poids",'Inventaire M-1'!#REF!,0))),"Buy",INDEX('Inventaire M-1'!$A$2:$AZ$9320,MATCH(B436,'Inventaire M-1'!$A:$A,0)-1,MATCH("poids",'Inventaire M-1'!#REF!,0))))</f>
        <v/>
      </c>
      <c r="M436" s="175"/>
      <c r="N436" s="157" t="str">
        <f t="shared" si="42"/>
        <v>0</v>
      </c>
      <c r="O436" s="98" t="str">
        <f t="shared" si="43"/>
        <v/>
      </c>
      <c r="P436" s="80" t="str">
        <f t="shared" si="44"/>
        <v>-</v>
      </c>
      <c r="Q436" s="75">
        <v>4.1199999999999998E-8</v>
      </c>
      <c r="R436" s="175" t="str">
        <f>IF(OR('Inventaire M-1'!D188="Dispo/Liquidité Investie",'Inventaire M-1'!D188="Option/Future",'Inventaire M-1'!D188="TCN",'Inventaire M-1'!D188=""),"-",'Inventaire M-1'!A188)</f>
        <v>XS3110309492</v>
      </c>
      <c r="S436" s="175" t="str">
        <f>IF(OR('Inventaire M-1'!D188="Dispo/Liquidité Investie",'Inventaire M-1'!D188="Option/Future",'Inventaire M-1'!D188="TCN",'Inventaire M-1'!D188=""),"-",'Inventaire M-1'!B188)</f>
        <v>ALMAVIVA THE ITALIAN INNOVATION CO 5 30/10/2030</v>
      </c>
      <c r="T436" s="175"/>
      <c r="U436" s="175" t="e">
        <f>IF(R436="-","",INDEX('Inventaire M-1'!$A$2:$AG$9334,MATCH(R436,'Inventaire M-1'!$A:$A,0)-1,MATCH("Cours EUR",'Inventaire M-1'!#REF!,0)))</f>
        <v>#REF!</v>
      </c>
      <c r="V436" s="175" t="str">
        <f>IF(R436="-","",IF(ISERROR(INDEX('Inventaire M'!$A$2:$AD$9319,MATCH(R436,'Inventaire M'!$A:$A,0)-1,MATCH("Cours EUR",'Inventaire M'!#REF!,0))),"Sell",INDEX('Inventaire M'!$A$2:$AD$9319,MATCH(R436,'Inventaire M'!$A:$A,0)-1,MATCH("Cours EUR",'Inventaire M'!#REF!,0))))</f>
        <v>Sell</v>
      </c>
      <c r="W436" s="175"/>
      <c r="X436" s="156" t="e">
        <f>IF(R436="-","",INDEX('Inventaire M-1'!$A$2:$AG$9334,MATCH(R436,'Inventaire M-1'!$A:$A,0)-1,MATCH("quantite",'Inventaire M-1'!#REF!,0)))</f>
        <v>#REF!</v>
      </c>
      <c r="Y436" s="156" t="str">
        <f>IF(S436="-","",IF(ISERROR(INDEX('Inventaire M'!$A$2:$AD$9319,MATCH(R436,'Inventaire M'!$A:$A,0)-1,MATCH("quantite",'Inventaire M'!#REF!,0))),"Sell",INDEX('Inventaire M'!$A$2:$AD$9319,MATCH(R436,'Inventaire M'!$A:$A,0)-1,MATCH("quantite",'Inventaire M'!#REF!,0))))</f>
        <v>Sell</v>
      </c>
      <c r="Z436" s="175"/>
      <c r="AA436" s="155" t="e">
        <f>IF(R436="-","",INDEX('Inventaire M-1'!$A$2:$AG$9334,MATCH(R436,'Inventaire M-1'!$A:$A,0)-1,MATCH("poids",'Inventaire M-1'!#REF!,0)))</f>
        <v>#REF!</v>
      </c>
      <c r="AB436" s="155" t="str">
        <f>IF(R436="-","",IF(ISERROR(INDEX('Inventaire M'!$A$2:$AD$9319,MATCH(R436,'Inventaire M'!$A:$A,0)-1,MATCH("poids",'Inventaire M'!#REF!,0))),"Sell",INDEX('Inventaire M'!$A$2:$AD$9319,MATCH(R436,'Inventaire M'!$A:$A,0)-1,MATCH("poids",'Inventaire M'!#REF!,0))))</f>
        <v>Sell</v>
      </c>
      <c r="AC436" s="175"/>
      <c r="AD436" s="157" t="str">
        <f t="shared" si="48"/>
        <v>0</v>
      </c>
      <c r="AE436" s="98" t="str">
        <f t="shared" si="49"/>
        <v/>
      </c>
      <c r="AF436" s="80" t="str">
        <f t="shared" si="50"/>
        <v>ALMAVIVA THE ITALIAN INNOVATION CO 5 30/10/2030</v>
      </c>
    </row>
    <row r="437" spans="2:32" outlineLevel="1">
      <c r="B437" s="175" t="str">
        <f>IF(OR('Inventaire M'!D215="Dispo/Liquidité Investie",'Inventaire M'!D215="Option/Future",'Inventaire M'!D215="TCN",'Inventaire M'!D215=""),"-",'Inventaire M'!A215)</f>
        <v>-</v>
      </c>
      <c r="C437" s="175" t="str">
        <f>IF(OR('Inventaire M'!D215="Dispo/Liquidité Investie",'Inventaire M'!D215="Option/Future",'Inventaire M'!D215="TCN",'Inventaire M'!D215=""),"-",'Inventaire M'!B215)</f>
        <v>-</v>
      </c>
      <c r="D437" s="175"/>
      <c r="E437" s="175" t="str">
        <f>IF(B437="-","",INDEX('Inventaire M'!$A$2:$AW$9305,MATCH(B437,'Inventaire M'!$A:$A,0)-1,MATCH("Cours EUR",'Inventaire M'!#REF!,0)))</f>
        <v/>
      </c>
      <c r="F437" s="175" t="str">
        <f>IF(B437="-","",IF(ISERROR(INDEX('Inventaire M-1'!$A$2:$AZ$9320,MATCH(B437,'Inventaire M-1'!$A:$A,0)-1,MATCH("Cours EUR",'Inventaire M-1'!#REF!,0))),"Buy",INDEX('Inventaire M-1'!$A$2:$AZ$9320,MATCH(B437,'Inventaire M-1'!$A:$A,0)-1,MATCH("Cours EUR",'Inventaire M-1'!#REF!,0))))</f>
        <v/>
      </c>
      <c r="G437" s="175"/>
      <c r="H437" s="156" t="str">
        <f>IF(B437="-","",INDEX('Inventaire M'!$A$2:$AW$9305,MATCH(B437,'Inventaire M'!$A:$A,0)-1,MATCH("quantite",'Inventaire M'!#REF!,0)))</f>
        <v/>
      </c>
      <c r="I437" s="156" t="str">
        <f>IF(C437="-","",IF(ISERROR(INDEX('Inventaire M-1'!$A$2:$AZ$9320,MATCH(B437,'Inventaire M-1'!$A:$A,0)-1,MATCH("quantite",'Inventaire M-1'!#REF!,0))),"Buy",INDEX('Inventaire M-1'!$A$2:$AZ$9320,MATCH(B437,'Inventaire M-1'!$A:$A,0)-1,MATCH("quantite",'Inventaire M-1'!#REF!,0))))</f>
        <v/>
      </c>
      <c r="J437" s="175"/>
      <c r="K437" s="155" t="str">
        <f>IF(B437="-","",INDEX('Inventaire M'!$A$2:$AW$9305,MATCH(B437,'Inventaire M'!$A:$A,0)-1,MATCH("poids",'Inventaire M'!#REF!,0)))</f>
        <v/>
      </c>
      <c r="L437" s="155" t="str">
        <f>IF(B437="-","",IF(ISERROR(INDEX('Inventaire M-1'!$A$2:$AZ$9320,MATCH(B437,'Inventaire M-1'!$A:$A,0)-1,MATCH("poids",'Inventaire M-1'!#REF!,0))),"Buy",INDEX('Inventaire M-1'!$A$2:$AZ$9320,MATCH(B437,'Inventaire M-1'!$A:$A,0)-1,MATCH("poids",'Inventaire M-1'!#REF!,0))))</f>
        <v/>
      </c>
      <c r="M437" s="175"/>
      <c r="N437" s="157" t="str">
        <f t="shared" si="42"/>
        <v>0</v>
      </c>
      <c r="O437" s="98" t="str">
        <f t="shared" si="43"/>
        <v/>
      </c>
      <c r="P437" s="80" t="str">
        <f t="shared" si="44"/>
        <v>-</v>
      </c>
      <c r="Q437" s="75">
        <v>4.1299999999999999E-8</v>
      </c>
      <c r="R437" s="175" t="str">
        <f>IF(OR('Inventaire M-1'!D189="Dispo/Liquidité Investie",'Inventaire M-1'!D189="Option/Future",'Inventaire M-1'!D189="TCN",'Inventaire M-1'!D189=""),"-",'Inventaire M-1'!A189)</f>
        <v>XS3111831254</v>
      </c>
      <c r="S437" s="175" t="str">
        <f>IF(OR('Inventaire M-1'!D189="Dispo/Liquidité Investie",'Inventaire M-1'!D189="Option/Future",'Inventaire M-1'!D189="TCN",'Inventaire M-1'!D189=""),"-",'Inventaire M-1'!B189)</f>
        <v>PAPREC HOLDING SA 4.5 15/07/2032</v>
      </c>
      <c r="T437" s="175"/>
      <c r="U437" s="175" t="e">
        <f>IF(R437="-","",INDEX('Inventaire M-1'!$A$2:$AG$9334,MATCH(R437,'Inventaire M-1'!$A:$A,0)-1,MATCH("Cours EUR",'Inventaire M-1'!#REF!,0)))</f>
        <v>#REF!</v>
      </c>
      <c r="V437" s="175" t="str">
        <f>IF(R437="-","",IF(ISERROR(INDEX('Inventaire M'!$A$2:$AD$9319,MATCH(R437,'Inventaire M'!$A:$A,0)-1,MATCH("Cours EUR",'Inventaire M'!#REF!,0))),"Sell",INDEX('Inventaire M'!$A$2:$AD$9319,MATCH(R437,'Inventaire M'!$A:$A,0)-1,MATCH("Cours EUR",'Inventaire M'!#REF!,0))))</f>
        <v>Sell</v>
      </c>
      <c r="W437" s="175"/>
      <c r="X437" s="156" t="e">
        <f>IF(R437="-","",INDEX('Inventaire M-1'!$A$2:$AG$9334,MATCH(R437,'Inventaire M-1'!$A:$A,0)-1,MATCH("quantite",'Inventaire M-1'!#REF!,0)))</f>
        <v>#REF!</v>
      </c>
      <c r="Y437" s="156" t="str">
        <f>IF(S437="-","",IF(ISERROR(INDEX('Inventaire M'!$A$2:$AD$9319,MATCH(R437,'Inventaire M'!$A:$A,0)-1,MATCH("quantite",'Inventaire M'!#REF!,0))),"Sell",INDEX('Inventaire M'!$A$2:$AD$9319,MATCH(R437,'Inventaire M'!$A:$A,0)-1,MATCH("quantite",'Inventaire M'!#REF!,0))))</f>
        <v>Sell</v>
      </c>
      <c r="Z437" s="175"/>
      <c r="AA437" s="155" t="e">
        <f>IF(R437="-","",INDEX('Inventaire M-1'!$A$2:$AG$9334,MATCH(R437,'Inventaire M-1'!$A:$A,0)-1,MATCH("poids",'Inventaire M-1'!#REF!,0)))</f>
        <v>#REF!</v>
      </c>
      <c r="AB437" s="155" t="str">
        <f>IF(R437="-","",IF(ISERROR(INDEX('Inventaire M'!$A$2:$AD$9319,MATCH(R437,'Inventaire M'!$A:$A,0)-1,MATCH("poids",'Inventaire M'!#REF!,0))),"Sell",INDEX('Inventaire M'!$A$2:$AD$9319,MATCH(R437,'Inventaire M'!$A:$A,0)-1,MATCH("poids",'Inventaire M'!#REF!,0))))</f>
        <v>Sell</v>
      </c>
      <c r="AC437" s="175"/>
      <c r="AD437" s="157" t="str">
        <f t="shared" si="48"/>
        <v>0</v>
      </c>
      <c r="AE437" s="98" t="str">
        <f t="shared" si="49"/>
        <v/>
      </c>
      <c r="AF437" s="80" t="str">
        <f t="shared" si="50"/>
        <v>PAPREC HOLDING SA 4.5 15/07/2032</v>
      </c>
    </row>
    <row r="438" spans="2:32" outlineLevel="1">
      <c r="B438" s="175" t="str">
        <f>IF(OR('Inventaire M'!D216="Dispo/Liquidité Investie",'Inventaire M'!D216="Option/Future",'Inventaire M'!D216="TCN",'Inventaire M'!D216=""),"-",'Inventaire M'!A216)</f>
        <v>-</v>
      </c>
      <c r="C438" s="175" t="str">
        <f>IF(OR('Inventaire M'!D216="Dispo/Liquidité Investie",'Inventaire M'!D216="Option/Future",'Inventaire M'!D216="TCN",'Inventaire M'!D216=""),"-",'Inventaire M'!B216)</f>
        <v>-</v>
      </c>
      <c r="D438" s="175"/>
      <c r="E438" s="175" t="str">
        <f>IF(B438="-","",INDEX('Inventaire M'!$A$2:$AW$9305,MATCH(B438,'Inventaire M'!$A:$A,0)-1,MATCH("Cours EUR",'Inventaire M'!#REF!,0)))</f>
        <v/>
      </c>
      <c r="F438" s="175" t="str">
        <f>IF(B438="-","",IF(ISERROR(INDEX('Inventaire M-1'!$A$2:$AZ$9320,MATCH(B438,'Inventaire M-1'!$A:$A,0)-1,MATCH("Cours EUR",'Inventaire M-1'!#REF!,0))),"Buy",INDEX('Inventaire M-1'!$A$2:$AZ$9320,MATCH(B438,'Inventaire M-1'!$A:$A,0)-1,MATCH("Cours EUR",'Inventaire M-1'!#REF!,0))))</f>
        <v/>
      </c>
      <c r="G438" s="175"/>
      <c r="H438" s="156" t="str">
        <f>IF(B438="-","",INDEX('Inventaire M'!$A$2:$AW$9305,MATCH(B438,'Inventaire M'!$A:$A,0)-1,MATCH("quantite",'Inventaire M'!#REF!,0)))</f>
        <v/>
      </c>
      <c r="I438" s="156" t="str">
        <f>IF(C438="-","",IF(ISERROR(INDEX('Inventaire M-1'!$A$2:$AZ$9320,MATCH(B438,'Inventaire M-1'!$A:$A,0)-1,MATCH("quantite",'Inventaire M-1'!#REF!,0))),"Buy",INDEX('Inventaire M-1'!$A$2:$AZ$9320,MATCH(B438,'Inventaire M-1'!$A:$A,0)-1,MATCH("quantite",'Inventaire M-1'!#REF!,0))))</f>
        <v/>
      </c>
      <c r="J438" s="175"/>
      <c r="K438" s="155" t="str">
        <f>IF(B438="-","",INDEX('Inventaire M'!$A$2:$AW$9305,MATCH(B438,'Inventaire M'!$A:$A,0)-1,MATCH("poids",'Inventaire M'!#REF!,0)))</f>
        <v/>
      </c>
      <c r="L438" s="155" t="str">
        <f>IF(B438="-","",IF(ISERROR(INDEX('Inventaire M-1'!$A$2:$AZ$9320,MATCH(B438,'Inventaire M-1'!$A:$A,0)-1,MATCH("poids",'Inventaire M-1'!#REF!,0))),"Buy",INDEX('Inventaire M-1'!$A$2:$AZ$9320,MATCH(B438,'Inventaire M-1'!$A:$A,0)-1,MATCH("poids",'Inventaire M-1'!#REF!,0))))</f>
        <v/>
      </c>
      <c r="M438" s="175"/>
      <c r="N438" s="157" t="str">
        <f t="shared" si="42"/>
        <v>0</v>
      </c>
      <c r="O438" s="98" t="str">
        <f t="shared" si="43"/>
        <v/>
      </c>
      <c r="P438" s="80" t="str">
        <f t="shared" si="44"/>
        <v>-</v>
      </c>
      <c r="Q438" s="75">
        <v>4.14E-8</v>
      </c>
      <c r="R438" s="175" t="str">
        <f>IF(OR('Inventaire M-1'!D190="Dispo/Liquidité Investie",'Inventaire M-1'!D190="Option/Future",'Inventaire M-1'!D190="TCN",'Inventaire M-1'!D190=""),"-",'Inventaire M-1'!A190)</f>
        <v>XS3124322424</v>
      </c>
      <c r="S438" s="175" t="str">
        <f>IF(OR('Inventaire M-1'!D190="Dispo/Liquidité Investie",'Inventaire M-1'!D190="Option/Future",'Inventaire M-1'!D190="TCN",'Inventaire M-1'!D190=""),"-",'Inventaire M-1'!B190)</f>
        <v>LEVI STRAUSS &amp; CO 4 15/08/2030</v>
      </c>
      <c r="T438" s="175"/>
      <c r="U438" s="175" t="e">
        <f>IF(R438="-","",INDEX('Inventaire M-1'!$A$2:$AG$9334,MATCH(R438,'Inventaire M-1'!$A:$A,0)-1,MATCH("Cours EUR",'Inventaire M-1'!#REF!,0)))</f>
        <v>#REF!</v>
      </c>
      <c r="V438" s="175" t="str">
        <f>IF(R438="-","",IF(ISERROR(INDEX('Inventaire M'!$A$2:$AD$9319,MATCH(R438,'Inventaire M'!$A:$A,0)-1,MATCH("Cours EUR",'Inventaire M'!#REF!,0))),"Sell",INDEX('Inventaire M'!$A$2:$AD$9319,MATCH(R438,'Inventaire M'!$A:$A,0)-1,MATCH("Cours EUR",'Inventaire M'!#REF!,0))))</f>
        <v>Sell</v>
      </c>
      <c r="W438" s="175"/>
      <c r="X438" s="156" t="e">
        <f>IF(R438="-","",INDEX('Inventaire M-1'!$A$2:$AG$9334,MATCH(R438,'Inventaire M-1'!$A:$A,0)-1,MATCH("quantite",'Inventaire M-1'!#REF!,0)))</f>
        <v>#REF!</v>
      </c>
      <c r="Y438" s="156" t="str">
        <f>IF(S438="-","",IF(ISERROR(INDEX('Inventaire M'!$A$2:$AD$9319,MATCH(R438,'Inventaire M'!$A:$A,0)-1,MATCH("quantite",'Inventaire M'!#REF!,0))),"Sell",INDEX('Inventaire M'!$A$2:$AD$9319,MATCH(R438,'Inventaire M'!$A:$A,0)-1,MATCH("quantite",'Inventaire M'!#REF!,0))))</f>
        <v>Sell</v>
      </c>
      <c r="Z438" s="175"/>
      <c r="AA438" s="155" t="e">
        <f>IF(R438="-","",INDEX('Inventaire M-1'!$A$2:$AG$9334,MATCH(R438,'Inventaire M-1'!$A:$A,0)-1,MATCH("poids",'Inventaire M-1'!#REF!,0)))</f>
        <v>#REF!</v>
      </c>
      <c r="AB438" s="155" t="str">
        <f>IF(R438="-","",IF(ISERROR(INDEX('Inventaire M'!$A$2:$AD$9319,MATCH(R438,'Inventaire M'!$A:$A,0)-1,MATCH("poids",'Inventaire M'!#REF!,0))),"Sell",INDEX('Inventaire M'!$A$2:$AD$9319,MATCH(R438,'Inventaire M'!$A:$A,0)-1,MATCH("poids",'Inventaire M'!#REF!,0))))</f>
        <v>Sell</v>
      </c>
      <c r="AC438" s="175"/>
      <c r="AD438" s="157" t="str">
        <f t="shared" si="48"/>
        <v>0</v>
      </c>
      <c r="AE438" s="98" t="str">
        <f t="shared" si="49"/>
        <v/>
      </c>
      <c r="AF438" s="80" t="str">
        <f t="shared" si="50"/>
        <v>LEVI STRAUSS &amp; CO 4 15/08/2030</v>
      </c>
    </row>
    <row r="439" spans="2:32" outlineLevel="1">
      <c r="B439" s="175" t="str">
        <f>IF(OR('Inventaire M'!D217="Dispo/Liquidité Investie",'Inventaire M'!D217="Option/Future",'Inventaire M'!D217="TCN",'Inventaire M'!D217=""),"-",'Inventaire M'!A217)</f>
        <v>-</v>
      </c>
      <c r="C439" s="175" t="str">
        <f>IF(OR('Inventaire M'!D217="Dispo/Liquidité Investie",'Inventaire M'!D217="Option/Future",'Inventaire M'!D217="TCN",'Inventaire M'!D217=""),"-",'Inventaire M'!B217)</f>
        <v>-</v>
      </c>
      <c r="D439" s="175"/>
      <c r="E439" s="175" t="str">
        <f>IF(B439="-","",INDEX('Inventaire M'!$A$2:$AW$9305,MATCH(B439,'Inventaire M'!$A:$A,0)-1,MATCH("Cours EUR",'Inventaire M'!#REF!,0)))</f>
        <v/>
      </c>
      <c r="F439" s="175" t="str">
        <f>IF(B439="-","",IF(ISERROR(INDEX('Inventaire M-1'!$A$2:$AZ$9320,MATCH(B439,'Inventaire M-1'!$A:$A,0)-1,MATCH("Cours EUR",'Inventaire M-1'!#REF!,0))),"Buy",INDEX('Inventaire M-1'!$A$2:$AZ$9320,MATCH(B439,'Inventaire M-1'!$A:$A,0)-1,MATCH("Cours EUR",'Inventaire M-1'!#REF!,0))))</f>
        <v/>
      </c>
      <c r="G439" s="175"/>
      <c r="H439" s="156" t="str">
        <f>IF(B439="-","",INDEX('Inventaire M'!$A$2:$AW$9305,MATCH(B439,'Inventaire M'!$A:$A,0)-1,MATCH("quantite",'Inventaire M'!#REF!,0)))</f>
        <v/>
      </c>
      <c r="I439" s="156" t="str">
        <f>IF(C439="-","",IF(ISERROR(INDEX('Inventaire M-1'!$A$2:$AZ$9320,MATCH(B439,'Inventaire M-1'!$A:$A,0)-1,MATCH("quantite",'Inventaire M-1'!#REF!,0))),"Buy",INDEX('Inventaire M-1'!$A$2:$AZ$9320,MATCH(B439,'Inventaire M-1'!$A:$A,0)-1,MATCH("quantite",'Inventaire M-1'!#REF!,0))))</f>
        <v/>
      </c>
      <c r="J439" s="175"/>
      <c r="K439" s="155" t="str">
        <f>IF(B439="-","",INDEX('Inventaire M'!$A$2:$AW$9305,MATCH(B439,'Inventaire M'!$A:$A,0)-1,MATCH("poids",'Inventaire M'!#REF!,0)))</f>
        <v/>
      </c>
      <c r="L439" s="155" t="str">
        <f>IF(B439="-","",IF(ISERROR(INDEX('Inventaire M-1'!$A$2:$AZ$9320,MATCH(B439,'Inventaire M-1'!$A:$A,0)-1,MATCH("poids",'Inventaire M-1'!#REF!,0))),"Buy",INDEX('Inventaire M-1'!$A$2:$AZ$9320,MATCH(B439,'Inventaire M-1'!$A:$A,0)-1,MATCH("poids",'Inventaire M-1'!#REF!,0))))</f>
        <v/>
      </c>
      <c r="M439" s="175"/>
      <c r="N439" s="157" t="str">
        <f t="shared" si="42"/>
        <v>0</v>
      </c>
      <c r="O439" s="98" t="str">
        <f t="shared" si="43"/>
        <v/>
      </c>
      <c r="P439" s="80" t="str">
        <f t="shared" si="44"/>
        <v>-</v>
      </c>
      <c r="Q439" s="75">
        <v>4.1500000000000001E-8</v>
      </c>
      <c r="R439" s="175" t="str">
        <f>IF(OR('Inventaire M-1'!D191="Dispo/Liquidité Investie",'Inventaire M-1'!D191="Option/Future",'Inventaire M-1'!D191="TCN",'Inventaire M-1'!D191=""),"-",'Inventaire M-1'!A191)</f>
        <v>XS3134529562</v>
      </c>
      <c r="S439" s="175" t="str">
        <f>IF(OR('Inventaire M-1'!D191="Dispo/Liquidité Investie",'Inventaire M-1'!D191="Option/Future",'Inventaire M-1'!D191="TCN",'Inventaire M-1'!D191=""),"-",'Inventaire M-1'!B191)</f>
        <v>ALLWYN ENTERTAINMENT FINANCING (UK 4.125 15/02/2031</v>
      </c>
      <c r="T439" s="175"/>
      <c r="U439" s="175" t="e">
        <f>IF(R439="-","",INDEX('Inventaire M-1'!$A$2:$AG$9334,MATCH(R439,'Inventaire M-1'!$A:$A,0)-1,MATCH("Cours EUR",'Inventaire M-1'!#REF!,0)))</f>
        <v>#REF!</v>
      </c>
      <c r="V439" s="175" t="str">
        <f>IF(R439="-","",IF(ISERROR(INDEX('Inventaire M'!$A$2:$AD$9319,MATCH(R439,'Inventaire M'!$A:$A,0)-1,MATCH("Cours EUR",'Inventaire M'!#REF!,0))),"Sell",INDEX('Inventaire M'!$A$2:$AD$9319,MATCH(R439,'Inventaire M'!$A:$A,0)-1,MATCH("Cours EUR",'Inventaire M'!#REF!,0))))</f>
        <v>Sell</v>
      </c>
      <c r="W439" s="175"/>
      <c r="X439" s="156" t="e">
        <f>IF(R439="-","",INDEX('Inventaire M-1'!$A$2:$AG$9334,MATCH(R439,'Inventaire M-1'!$A:$A,0)-1,MATCH("quantite",'Inventaire M-1'!#REF!,0)))</f>
        <v>#REF!</v>
      </c>
      <c r="Y439" s="156" t="str">
        <f>IF(S439="-","",IF(ISERROR(INDEX('Inventaire M'!$A$2:$AD$9319,MATCH(R439,'Inventaire M'!$A:$A,0)-1,MATCH("quantite",'Inventaire M'!#REF!,0))),"Sell",INDEX('Inventaire M'!$A$2:$AD$9319,MATCH(R439,'Inventaire M'!$A:$A,0)-1,MATCH("quantite",'Inventaire M'!#REF!,0))))</f>
        <v>Sell</v>
      </c>
      <c r="Z439" s="175"/>
      <c r="AA439" s="155" t="e">
        <f>IF(R439="-","",INDEX('Inventaire M-1'!$A$2:$AG$9334,MATCH(R439,'Inventaire M-1'!$A:$A,0)-1,MATCH("poids",'Inventaire M-1'!#REF!,0)))</f>
        <v>#REF!</v>
      </c>
      <c r="AB439" s="155" t="str">
        <f>IF(R439="-","",IF(ISERROR(INDEX('Inventaire M'!$A$2:$AD$9319,MATCH(R439,'Inventaire M'!$A:$A,0)-1,MATCH("poids",'Inventaire M'!#REF!,0))),"Sell",INDEX('Inventaire M'!$A$2:$AD$9319,MATCH(R439,'Inventaire M'!$A:$A,0)-1,MATCH("poids",'Inventaire M'!#REF!,0))))</f>
        <v>Sell</v>
      </c>
      <c r="AC439" s="175"/>
      <c r="AD439" s="157" t="str">
        <f t="shared" si="48"/>
        <v>0</v>
      </c>
      <c r="AE439" s="98" t="str">
        <f t="shared" si="49"/>
        <v/>
      </c>
      <c r="AF439" s="80" t="str">
        <f t="shared" si="50"/>
        <v>ALLWYN ENTERTAINMENT FINANCING (UK 4.125 15/02/2031</v>
      </c>
    </row>
    <row r="440" spans="2:32" outlineLevel="1">
      <c r="B440" s="175" t="str">
        <f>IF(OR('Inventaire M'!D218="Dispo/Liquidité Investie",'Inventaire M'!D218="Option/Future",'Inventaire M'!D218="TCN",'Inventaire M'!D218=""),"-",'Inventaire M'!A218)</f>
        <v>-</v>
      </c>
      <c r="C440" s="175" t="str">
        <f>IF(OR('Inventaire M'!D218="Dispo/Liquidité Investie",'Inventaire M'!D218="Option/Future",'Inventaire M'!D218="TCN",'Inventaire M'!D218=""),"-",'Inventaire M'!B218)</f>
        <v>-</v>
      </c>
      <c r="D440" s="175"/>
      <c r="E440" s="175" t="str">
        <f>IF(B440="-","",INDEX('Inventaire M'!$A$2:$AW$9305,MATCH(B440,'Inventaire M'!$A:$A,0)-1,MATCH("Cours EUR",'Inventaire M'!#REF!,0)))</f>
        <v/>
      </c>
      <c r="F440" s="175" t="str">
        <f>IF(B440="-","",IF(ISERROR(INDEX('Inventaire M-1'!$A$2:$AZ$9320,MATCH(B440,'Inventaire M-1'!$A:$A,0)-1,MATCH("Cours EUR",'Inventaire M-1'!#REF!,0))),"Buy",INDEX('Inventaire M-1'!$A$2:$AZ$9320,MATCH(B440,'Inventaire M-1'!$A:$A,0)-1,MATCH("Cours EUR",'Inventaire M-1'!#REF!,0))))</f>
        <v/>
      </c>
      <c r="G440" s="175"/>
      <c r="H440" s="156" t="str">
        <f>IF(B440="-","",INDEX('Inventaire M'!$A$2:$AW$9305,MATCH(B440,'Inventaire M'!$A:$A,0)-1,MATCH("quantite",'Inventaire M'!#REF!,0)))</f>
        <v/>
      </c>
      <c r="I440" s="156" t="str">
        <f>IF(C440="-","",IF(ISERROR(INDEX('Inventaire M-1'!$A$2:$AZ$9320,MATCH(B440,'Inventaire M-1'!$A:$A,0)-1,MATCH("quantite",'Inventaire M-1'!#REF!,0))),"Buy",INDEX('Inventaire M-1'!$A$2:$AZ$9320,MATCH(B440,'Inventaire M-1'!$A:$A,0)-1,MATCH("quantite",'Inventaire M-1'!#REF!,0))))</f>
        <v/>
      </c>
      <c r="J440" s="175"/>
      <c r="K440" s="155" t="str">
        <f>IF(B440="-","",INDEX('Inventaire M'!$A$2:$AW$9305,MATCH(B440,'Inventaire M'!$A:$A,0)-1,MATCH("poids",'Inventaire M'!#REF!,0)))</f>
        <v/>
      </c>
      <c r="L440" s="155" t="str">
        <f>IF(B440="-","",IF(ISERROR(INDEX('Inventaire M-1'!$A$2:$AZ$9320,MATCH(B440,'Inventaire M-1'!$A:$A,0)-1,MATCH("poids",'Inventaire M-1'!#REF!,0))),"Buy",INDEX('Inventaire M-1'!$A$2:$AZ$9320,MATCH(B440,'Inventaire M-1'!$A:$A,0)-1,MATCH("poids",'Inventaire M-1'!#REF!,0))))</f>
        <v/>
      </c>
      <c r="M440" s="175"/>
      <c r="N440" s="157" t="str">
        <f t="shared" si="42"/>
        <v>0</v>
      </c>
      <c r="O440" s="98" t="str">
        <f t="shared" si="43"/>
        <v/>
      </c>
      <c r="P440" s="80" t="str">
        <f t="shared" si="44"/>
        <v>-</v>
      </c>
      <c r="Q440" s="75">
        <v>4.1600000000000002E-8</v>
      </c>
      <c r="R440" s="175" t="str">
        <f>IF(OR('Inventaire M-1'!D192="Dispo/Liquidité Investie",'Inventaire M-1'!D192="Option/Future",'Inventaire M-1'!D192="TCN",'Inventaire M-1'!D192=""),"-",'Inventaire M-1'!A192)</f>
        <v>XS3134602070</v>
      </c>
      <c r="S440" s="175" t="str">
        <f>IF(OR('Inventaire M-1'!D192="Dispo/Liquidité Investie",'Inventaire M-1'!D192="Option/Future",'Inventaire M-1'!D192="TCN",'Inventaire M-1'!D192=""),"-",'Inventaire M-1'!B192)</f>
        <v>BOOTS GROUP FINCO LP 5.375 31/08/2032</v>
      </c>
      <c r="T440" s="175"/>
      <c r="U440" s="175" t="e">
        <f>IF(R440="-","",INDEX('Inventaire M-1'!$A$2:$AG$9334,MATCH(R440,'Inventaire M-1'!$A:$A,0)-1,MATCH("Cours EUR",'Inventaire M-1'!#REF!,0)))</f>
        <v>#REF!</v>
      </c>
      <c r="V440" s="175" t="str">
        <f>IF(R440="-","",IF(ISERROR(INDEX('Inventaire M'!$A$2:$AD$9319,MATCH(R440,'Inventaire M'!$A:$A,0)-1,MATCH("Cours EUR",'Inventaire M'!#REF!,0))),"Sell",INDEX('Inventaire M'!$A$2:$AD$9319,MATCH(R440,'Inventaire M'!$A:$A,0)-1,MATCH("Cours EUR",'Inventaire M'!#REF!,0))))</f>
        <v>Sell</v>
      </c>
      <c r="W440" s="175"/>
      <c r="X440" s="156" t="e">
        <f>IF(R440="-","",INDEX('Inventaire M-1'!$A$2:$AG$9334,MATCH(R440,'Inventaire M-1'!$A:$A,0)-1,MATCH("quantite",'Inventaire M-1'!#REF!,0)))</f>
        <v>#REF!</v>
      </c>
      <c r="Y440" s="156" t="str">
        <f>IF(S440="-","",IF(ISERROR(INDEX('Inventaire M'!$A$2:$AD$9319,MATCH(R440,'Inventaire M'!$A:$A,0)-1,MATCH("quantite",'Inventaire M'!#REF!,0))),"Sell",INDEX('Inventaire M'!$A$2:$AD$9319,MATCH(R440,'Inventaire M'!$A:$A,0)-1,MATCH("quantite",'Inventaire M'!#REF!,0))))</f>
        <v>Sell</v>
      </c>
      <c r="Z440" s="175"/>
      <c r="AA440" s="155" t="e">
        <f>IF(R440="-","",INDEX('Inventaire M-1'!$A$2:$AG$9334,MATCH(R440,'Inventaire M-1'!$A:$A,0)-1,MATCH("poids",'Inventaire M-1'!#REF!,0)))</f>
        <v>#REF!</v>
      </c>
      <c r="AB440" s="155" t="str">
        <f>IF(R440="-","",IF(ISERROR(INDEX('Inventaire M'!$A$2:$AD$9319,MATCH(R440,'Inventaire M'!$A:$A,0)-1,MATCH("poids",'Inventaire M'!#REF!,0))),"Sell",INDEX('Inventaire M'!$A$2:$AD$9319,MATCH(R440,'Inventaire M'!$A:$A,0)-1,MATCH("poids",'Inventaire M'!#REF!,0))))</f>
        <v>Sell</v>
      </c>
      <c r="AC440" s="175"/>
      <c r="AD440" s="157" t="str">
        <f t="shared" si="48"/>
        <v>0</v>
      </c>
      <c r="AE440" s="98" t="str">
        <f t="shared" si="49"/>
        <v/>
      </c>
      <c r="AF440" s="80" t="str">
        <f t="shared" si="50"/>
        <v>BOOTS GROUP FINCO LP 5.375 31/08/2032</v>
      </c>
    </row>
    <row r="441" spans="2:32" outlineLevel="1">
      <c r="B441" s="175" t="str">
        <f>IF(OR('Inventaire M'!D219="Dispo/Liquidité Investie",'Inventaire M'!D219="Option/Future",'Inventaire M'!D219="TCN",'Inventaire M'!D219=""),"-",'Inventaire M'!A219)</f>
        <v>-</v>
      </c>
      <c r="C441" s="175" t="str">
        <f>IF(OR('Inventaire M'!D219="Dispo/Liquidité Investie",'Inventaire M'!D219="Option/Future",'Inventaire M'!D219="TCN",'Inventaire M'!D219=""),"-",'Inventaire M'!B219)</f>
        <v>-</v>
      </c>
      <c r="D441" s="175"/>
      <c r="E441" s="175" t="str">
        <f>IF(B441="-","",INDEX('Inventaire M'!$A$2:$AW$9305,MATCH(B441,'Inventaire M'!$A:$A,0)-1,MATCH("Cours EUR",'Inventaire M'!#REF!,0)))</f>
        <v/>
      </c>
      <c r="F441" s="175" t="str">
        <f>IF(B441="-","",IF(ISERROR(INDEX('Inventaire M-1'!$A$2:$AZ$9320,MATCH(B441,'Inventaire M-1'!$A:$A,0)-1,MATCH("Cours EUR",'Inventaire M-1'!#REF!,0))),"Buy",INDEX('Inventaire M-1'!$A$2:$AZ$9320,MATCH(B441,'Inventaire M-1'!$A:$A,0)-1,MATCH("Cours EUR",'Inventaire M-1'!#REF!,0))))</f>
        <v/>
      </c>
      <c r="G441" s="175"/>
      <c r="H441" s="156" t="str">
        <f>IF(B441="-","",INDEX('Inventaire M'!$A$2:$AW$9305,MATCH(B441,'Inventaire M'!$A:$A,0)-1,MATCH("quantite",'Inventaire M'!#REF!,0)))</f>
        <v/>
      </c>
      <c r="I441" s="156" t="str">
        <f>IF(C441="-","",IF(ISERROR(INDEX('Inventaire M-1'!$A$2:$AZ$9320,MATCH(B441,'Inventaire M-1'!$A:$A,0)-1,MATCH("quantite",'Inventaire M-1'!#REF!,0))),"Buy",INDEX('Inventaire M-1'!$A$2:$AZ$9320,MATCH(B441,'Inventaire M-1'!$A:$A,0)-1,MATCH("quantite",'Inventaire M-1'!#REF!,0))))</f>
        <v/>
      </c>
      <c r="J441" s="175"/>
      <c r="K441" s="155" t="str">
        <f>IF(B441="-","",INDEX('Inventaire M'!$A$2:$AW$9305,MATCH(B441,'Inventaire M'!$A:$A,0)-1,MATCH("poids",'Inventaire M'!#REF!,0)))</f>
        <v/>
      </c>
      <c r="L441" s="155" t="str">
        <f>IF(B441="-","",IF(ISERROR(INDEX('Inventaire M-1'!$A$2:$AZ$9320,MATCH(B441,'Inventaire M-1'!$A:$A,0)-1,MATCH("poids",'Inventaire M-1'!#REF!,0))),"Buy",INDEX('Inventaire M-1'!$A$2:$AZ$9320,MATCH(B441,'Inventaire M-1'!$A:$A,0)-1,MATCH("poids",'Inventaire M-1'!#REF!,0))))</f>
        <v/>
      </c>
      <c r="M441" s="175"/>
      <c r="N441" s="157" t="str">
        <f t="shared" si="42"/>
        <v>0</v>
      </c>
      <c r="O441" s="98" t="str">
        <f t="shared" si="43"/>
        <v/>
      </c>
      <c r="P441" s="80" t="str">
        <f t="shared" si="44"/>
        <v>-</v>
      </c>
      <c r="Q441" s="75">
        <v>4.1700000000000003E-8</v>
      </c>
      <c r="R441" s="175" t="str">
        <f>IF(OR('Inventaire M-1'!D193="Dispo/Liquidité Investie",'Inventaire M-1'!D193="Option/Future",'Inventaire M-1'!D193="TCN",'Inventaire M-1'!D193=""),"-",'Inventaire M-1'!A193)</f>
        <v>-</v>
      </c>
      <c r="S441" s="175" t="str">
        <f>IF(OR('Inventaire M-1'!D193="Dispo/Liquidité Investie",'Inventaire M-1'!D193="Option/Future",'Inventaire M-1'!D193="TCN",'Inventaire M-1'!D193=""),"-",'Inventaire M-1'!B193)</f>
        <v>-</v>
      </c>
      <c r="T441" s="175"/>
      <c r="U441" s="175" t="str">
        <f>IF(R441="-","",INDEX('Inventaire M-1'!$A$2:$AG$9334,MATCH(R441,'Inventaire M-1'!$A:$A,0)-1,MATCH("Cours EUR",'Inventaire M-1'!#REF!,0)))</f>
        <v/>
      </c>
      <c r="V441" s="175" t="str">
        <f>IF(R441="-","",IF(ISERROR(INDEX('Inventaire M'!$A$2:$AD$9319,MATCH(R441,'Inventaire M'!$A:$A,0)-1,MATCH("Cours EUR",'Inventaire M'!#REF!,0))),"Sell",INDEX('Inventaire M'!$A$2:$AD$9319,MATCH(R441,'Inventaire M'!$A:$A,0)-1,MATCH("Cours EUR",'Inventaire M'!#REF!,0))))</f>
        <v/>
      </c>
      <c r="W441" s="175"/>
      <c r="X441" s="156" t="str">
        <f>IF(R441="-","",INDEX('Inventaire M-1'!$A$2:$AG$9334,MATCH(R441,'Inventaire M-1'!$A:$A,0)-1,MATCH("quantite",'Inventaire M-1'!#REF!,0)))</f>
        <v/>
      </c>
      <c r="Y441" s="156" t="str">
        <f>IF(S441="-","",IF(ISERROR(INDEX('Inventaire M'!$A$2:$AD$9319,MATCH(R441,'Inventaire M'!$A:$A,0)-1,MATCH("quantite",'Inventaire M'!#REF!,0))),"Sell",INDEX('Inventaire M'!$A$2:$AD$9319,MATCH(R441,'Inventaire M'!$A:$A,0)-1,MATCH("quantite",'Inventaire M'!#REF!,0))))</f>
        <v/>
      </c>
      <c r="Z441" s="175"/>
      <c r="AA441" s="155" t="str">
        <f>IF(R441="-","",INDEX('Inventaire M-1'!$A$2:$AG$9334,MATCH(R441,'Inventaire M-1'!$A:$A,0)-1,MATCH("poids",'Inventaire M-1'!#REF!,0)))</f>
        <v/>
      </c>
      <c r="AB441" s="155" t="str">
        <f>IF(R441="-","",IF(ISERROR(INDEX('Inventaire M'!$A$2:$AD$9319,MATCH(R441,'Inventaire M'!$A:$A,0)-1,MATCH("poids",'Inventaire M'!#REF!,0))),"Sell",INDEX('Inventaire M'!$A$2:$AD$9319,MATCH(R441,'Inventaire M'!$A:$A,0)-1,MATCH("poids",'Inventaire M'!#REF!,0))))</f>
        <v/>
      </c>
      <c r="AC441" s="175"/>
      <c r="AD441" s="157" t="str">
        <f t="shared" si="48"/>
        <v>0</v>
      </c>
      <c r="AE441" s="98" t="str">
        <f t="shared" si="49"/>
        <v/>
      </c>
      <c r="AF441" s="80" t="str">
        <f t="shared" si="50"/>
        <v>-</v>
      </c>
    </row>
    <row r="442" spans="2:32" outlineLevel="1">
      <c r="B442" s="175" t="str">
        <f>IF(OR('Inventaire M'!D220="Dispo/Liquidité Investie",'Inventaire M'!D220="Option/Future",'Inventaire M'!D220="TCN",'Inventaire M'!D220=""),"-",'Inventaire M'!A220)</f>
        <v>-</v>
      </c>
      <c r="C442" s="175" t="str">
        <f>IF(OR('Inventaire M'!D220="Dispo/Liquidité Investie",'Inventaire M'!D220="Option/Future",'Inventaire M'!D220="TCN",'Inventaire M'!D220=""),"-",'Inventaire M'!B220)</f>
        <v>-</v>
      </c>
      <c r="D442" s="175"/>
      <c r="E442" s="175" t="str">
        <f>IF(B442="-","",INDEX('Inventaire M'!$A$2:$AW$9305,MATCH(B442,'Inventaire M'!$A:$A,0)-1,MATCH("Cours EUR",'Inventaire M'!#REF!,0)))</f>
        <v/>
      </c>
      <c r="F442" s="175" t="str">
        <f>IF(B442="-","",IF(ISERROR(INDEX('Inventaire M-1'!$A$2:$AZ$9320,MATCH(B442,'Inventaire M-1'!$A:$A,0)-1,MATCH("Cours EUR",'Inventaire M-1'!#REF!,0))),"Buy",INDEX('Inventaire M-1'!$A$2:$AZ$9320,MATCH(B442,'Inventaire M-1'!$A:$A,0)-1,MATCH("Cours EUR",'Inventaire M-1'!#REF!,0))))</f>
        <v/>
      </c>
      <c r="G442" s="175"/>
      <c r="H442" s="156" t="str">
        <f>IF(B442="-","",INDEX('Inventaire M'!$A$2:$AW$9305,MATCH(B442,'Inventaire M'!$A:$A,0)-1,MATCH("quantite",'Inventaire M'!#REF!,0)))</f>
        <v/>
      </c>
      <c r="I442" s="156" t="str">
        <f>IF(C442="-","",IF(ISERROR(INDEX('Inventaire M-1'!$A$2:$AZ$9320,MATCH(B442,'Inventaire M-1'!$A:$A,0)-1,MATCH("quantite",'Inventaire M-1'!#REF!,0))),"Buy",INDEX('Inventaire M-1'!$A$2:$AZ$9320,MATCH(B442,'Inventaire M-1'!$A:$A,0)-1,MATCH("quantite",'Inventaire M-1'!#REF!,0))))</f>
        <v/>
      </c>
      <c r="J442" s="175"/>
      <c r="K442" s="155" t="str">
        <f>IF(B442="-","",INDEX('Inventaire M'!$A$2:$AW$9305,MATCH(B442,'Inventaire M'!$A:$A,0)-1,MATCH("poids",'Inventaire M'!#REF!,0)))</f>
        <v/>
      </c>
      <c r="L442" s="155" t="str">
        <f>IF(B442="-","",IF(ISERROR(INDEX('Inventaire M-1'!$A$2:$AZ$9320,MATCH(B442,'Inventaire M-1'!$A:$A,0)-1,MATCH("poids",'Inventaire M-1'!#REF!,0))),"Buy",INDEX('Inventaire M-1'!$A$2:$AZ$9320,MATCH(B442,'Inventaire M-1'!$A:$A,0)-1,MATCH("poids",'Inventaire M-1'!#REF!,0))))</f>
        <v/>
      </c>
      <c r="M442" s="175"/>
      <c r="N442" s="157" t="str">
        <f t="shared" si="42"/>
        <v>0</v>
      </c>
      <c r="O442" s="98" t="str">
        <f t="shared" si="43"/>
        <v/>
      </c>
      <c r="P442" s="80" t="str">
        <f t="shared" si="44"/>
        <v>-</v>
      </c>
      <c r="Q442" s="75">
        <v>4.1799999999999997E-8</v>
      </c>
      <c r="R442" s="175" t="str">
        <f>IF(OR('Inventaire M-1'!D194="Dispo/Liquidité Investie",'Inventaire M-1'!D194="Option/Future",'Inventaire M-1'!D194="TCN",'Inventaire M-1'!D194=""),"-",'Inventaire M-1'!A194)</f>
        <v>-</v>
      </c>
      <c r="S442" s="175" t="str">
        <f>IF(OR('Inventaire M-1'!D194="Dispo/Liquidité Investie",'Inventaire M-1'!D194="Option/Future",'Inventaire M-1'!D194="TCN",'Inventaire M-1'!D194=""),"-",'Inventaire M-1'!B194)</f>
        <v>-</v>
      </c>
      <c r="T442" s="175"/>
      <c r="U442" s="175" t="str">
        <f>IF(R442="-","",INDEX('Inventaire M-1'!$A$2:$AG$9334,MATCH(R442,'Inventaire M-1'!$A:$A,0)-1,MATCH("Cours EUR",'Inventaire M-1'!#REF!,0)))</f>
        <v/>
      </c>
      <c r="V442" s="175" t="str">
        <f>IF(R442="-","",IF(ISERROR(INDEX('Inventaire M'!$A$2:$AD$9319,MATCH(R442,'Inventaire M'!$A:$A,0)-1,MATCH("Cours EUR",'Inventaire M'!#REF!,0))),"Sell",INDEX('Inventaire M'!$A$2:$AD$9319,MATCH(R442,'Inventaire M'!$A:$A,0)-1,MATCH("Cours EUR",'Inventaire M'!#REF!,0))))</f>
        <v/>
      </c>
      <c r="W442" s="175"/>
      <c r="X442" s="156" t="str">
        <f>IF(R442="-","",INDEX('Inventaire M-1'!$A$2:$AG$9334,MATCH(R442,'Inventaire M-1'!$A:$A,0)-1,MATCH("quantite",'Inventaire M-1'!#REF!,0)))</f>
        <v/>
      </c>
      <c r="Y442" s="156" t="str">
        <f>IF(S442="-","",IF(ISERROR(INDEX('Inventaire M'!$A$2:$AD$9319,MATCH(R442,'Inventaire M'!$A:$A,0)-1,MATCH("quantite",'Inventaire M'!#REF!,0))),"Sell",INDEX('Inventaire M'!$A$2:$AD$9319,MATCH(R442,'Inventaire M'!$A:$A,0)-1,MATCH("quantite",'Inventaire M'!#REF!,0))))</f>
        <v/>
      </c>
      <c r="Z442" s="175"/>
      <c r="AA442" s="155" t="str">
        <f>IF(R442="-","",INDEX('Inventaire M-1'!$A$2:$AG$9334,MATCH(R442,'Inventaire M-1'!$A:$A,0)-1,MATCH("poids",'Inventaire M-1'!#REF!,0)))</f>
        <v/>
      </c>
      <c r="AB442" s="155" t="str">
        <f>IF(R442="-","",IF(ISERROR(INDEX('Inventaire M'!$A$2:$AD$9319,MATCH(R442,'Inventaire M'!$A:$A,0)-1,MATCH("poids",'Inventaire M'!#REF!,0))),"Sell",INDEX('Inventaire M'!$A$2:$AD$9319,MATCH(R442,'Inventaire M'!$A:$A,0)-1,MATCH("poids",'Inventaire M'!#REF!,0))))</f>
        <v/>
      </c>
      <c r="AC442" s="175"/>
      <c r="AD442" s="157" t="str">
        <f t="shared" si="48"/>
        <v>0</v>
      </c>
      <c r="AE442" s="98" t="str">
        <f t="shared" si="49"/>
        <v/>
      </c>
      <c r="AF442" s="80" t="str">
        <f t="shared" si="50"/>
        <v>-</v>
      </c>
    </row>
    <row r="443" spans="2:32" outlineLevel="1">
      <c r="B443" s="175" t="str">
        <f>IF(OR('Inventaire M'!D221="Dispo/Liquidité Investie",'Inventaire M'!D221="Option/Future",'Inventaire M'!D221="TCN",'Inventaire M'!D221=""),"-",'Inventaire M'!A221)</f>
        <v>-</v>
      </c>
      <c r="C443" s="175" t="str">
        <f>IF(OR('Inventaire M'!D221="Dispo/Liquidité Investie",'Inventaire M'!D221="Option/Future",'Inventaire M'!D221="TCN",'Inventaire M'!D221=""),"-",'Inventaire M'!B221)</f>
        <v>-</v>
      </c>
      <c r="D443" s="175"/>
      <c r="E443" s="175" t="str">
        <f>IF(B443="-","",INDEX('Inventaire M'!$A$2:$AW$9305,MATCH(B443,'Inventaire M'!$A:$A,0)-1,MATCH("Cours EUR",'Inventaire M'!#REF!,0)))</f>
        <v/>
      </c>
      <c r="F443" s="175" t="str">
        <f>IF(B443="-","",IF(ISERROR(INDEX('Inventaire M-1'!$A$2:$AZ$9320,MATCH(B443,'Inventaire M-1'!$A:$A,0)-1,MATCH("Cours EUR",'Inventaire M-1'!#REF!,0))),"Buy",INDEX('Inventaire M-1'!$A$2:$AZ$9320,MATCH(B443,'Inventaire M-1'!$A:$A,0)-1,MATCH("Cours EUR",'Inventaire M-1'!#REF!,0))))</f>
        <v/>
      </c>
      <c r="G443" s="175"/>
      <c r="H443" s="156" t="str">
        <f>IF(B443="-","",INDEX('Inventaire M'!$A$2:$AW$9305,MATCH(B443,'Inventaire M'!$A:$A,0)-1,MATCH("quantite",'Inventaire M'!#REF!,0)))</f>
        <v/>
      </c>
      <c r="I443" s="156" t="str">
        <f>IF(C443="-","",IF(ISERROR(INDEX('Inventaire M-1'!$A$2:$AZ$9320,MATCH(B443,'Inventaire M-1'!$A:$A,0)-1,MATCH("quantite",'Inventaire M-1'!#REF!,0))),"Buy",INDEX('Inventaire M-1'!$A$2:$AZ$9320,MATCH(B443,'Inventaire M-1'!$A:$A,0)-1,MATCH("quantite",'Inventaire M-1'!#REF!,0))))</f>
        <v/>
      </c>
      <c r="J443" s="175"/>
      <c r="K443" s="155" t="str">
        <f>IF(B443="-","",INDEX('Inventaire M'!$A$2:$AW$9305,MATCH(B443,'Inventaire M'!$A:$A,0)-1,MATCH("poids",'Inventaire M'!#REF!,0)))</f>
        <v/>
      </c>
      <c r="L443" s="155" t="str">
        <f>IF(B443="-","",IF(ISERROR(INDEX('Inventaire M-1'!$A$2:$AZ$9320,MATCH(B443,'Inventaire M-1'!$A:$A,0)-1,MATCH("poids",'Inventaire M-1'!#REF!,0))),"Buy",INDEX('Inventaire M-1'!$A$2:$AZ$9320,MATCH(B443,'Inventaire M-1'!$A:$A,0)-1,MATCH("poids",'Inventaire M-1'!#REF!,0))))</f>
        <v/>
      </c>
      <c r="M443" s="175"/>
      <c r="N443" s="157" t="str">
        <f t="shared" si="42"/>
        <v>0</v>
      </c>
      <c r="O443" s="98" t="str">
        <f t="shared" si="43"/>
        <v/>
      </c>
      <c r="P443" s="80" t="str">
        <f t="shared" si="44"/>
        <v>-</v>
      </c>
      <c r="Q443" s="75">
        <v>4.1899999999999998E-8</v>
      </c>
      <c r="R443" s="175" t="str">
        <f>IF(OR('Inventaire M-1'!D195="Dispo/Liquidité Investie",'Inventaire M-1'!D195="Option/Future",'Inventaire M-1'!D195="TCN",'Inventaire M-1'!D195=""),"-",'Inventaire M-1'!A195)</f>
        <v>-</v>
      </c>
      <c r="S443" s="175" t="str">
        <f>IF(OR('Inventaire M-1'!D195="Dispo/Liquidité Investie",'Inventaire M-1'!D195="Option/Future",'Inventaire M-1'!D195="TCN",'Inventaire M-1'!D195=""),"-",'Inventaire M-1'!B195)</f>
        <v>-</v>
      </c>
      <c r="T443" s="175"/>
      <c r="U443" s="175" t="str">
        <f>IF(R443="-","",INDEX('Inventaire M-1'!$A$2:$AG$9334,MATCH(R443,'Inventaire M-1'!$A:$A,0)-1,MATCH("Cours EUR",'Inventaire M-1'!#REF!,0)))</f>
        <v/>
      </c>
      <c r="V443" s="175" t="str">
        <f>IF(R443="-","",IF(ISERROR(INDEX('Inventaire M'!$A$2:$AD$9319,MATCH(R443,'Inventaire M'!$A:$A,0)-1,MATCH("Cours EUR",'Inventaire M'!#REF!,0))),"Sell",INDEX('Inventaire M'!$A$2:$AD$9319,MATCH(R443,'Inventaire M'!$A:$A,0)-1,MATCH("Cours EUR",'Inventaire M'!#REF!,0))))</f>
        <v/>
      </c>
      <c r="W443" s="175"/>
      <c r="X443" s="156" t="str">
        <f>IF(R443="-","",INDEX('Inventaire M-1'!$A$2:$AG$9334,MATCH(R443,'Inventaire M-1'!$A:$A,0)-1,MATCH("quantite",'Inventaire M-1'!#REF!,0)))</f>
        <v/>
      </c>
      <c r="Y443" s="156" t="str">
        <f>IF(S443="-","",IF(ISERROR(INDEX('Inventaire M'!$A$2:$AD$9319,MATCH(R443,'Inventaire M'!$A:$A,0)-1,MATCH("quantite",'Inventaire M'!#REF!,0))),"Sell",INDEX('Inventaire M'!$A$2:$AD$9319,MATCH(R443,'Inventaire M'!$A:$A,0)-1,MATCH("quantite",'Inventaire M'!#REF!,0))))</f>
        <v/>
      </c>
      <c r="Z443" s="175"/>
      <c r="AA443" s="155" t="str">
        <f>IF(R443="-","",INDEX('Inventaire M-1'!$A$2:$AG$9334,MATCH(R443,'Inventaire M-1'!$A:$A,0)-1,MATCH("poids",'Inventaire M-1'!#REF!,0)))</f>
        <v/>
      </c>
      <c r="AB443" s="155" t="str">
        <f>IF(R443="-","",IF(ISERROR(INDEX('Inventaire M'!$A$2:$AD$9319,MATCH(R443,'Inventaire M'!$A:$A,0)-1,MATCH("poids",'Inventaire M'!#REF!,0))),"Sell",INDEX('Inventaire M'!$A$2:$AD$9319,MATCH(R443,'Inventaire M'!$A:$A,0)-1,MATCH("poids",'Inventaire M'!#REF!,0))))</f>
        <v/>
      </c>
      <c r="AC443" s="175"/>
      <c r="AD443" s="157" t="str">
        <f t="shared" si="48"/>
        <v>0</v>
      </c>
      <c r="AE443" s="98" t="str">
        <f t="shared" si="49"/>
        <v/>
      </c>
      <c r="AF443" s="80" t="str">
        <f t="shared" si="50"/>
        <v>-</v>
      </c>
    </row>
    <row r="444" spans="2:32" outlineLevel="1">
      <c r="B444" s="175" t="str">
        <f>IF(OR('Inventaire M'!D222="Dispo/Liquidité Investie",'Inventaire M'!D222="Option/Future",'Inventaire M'!D222="TCN",'Inventaire M'!D222=""),"-",'Inventaire M'!A222)</f>
        <v>-</v>
      </c>
      <c r="C444" s="175" t="str">
        <f>IF(OR('Inventaire M'!D222="Dispo/Liquidité Investie",'Inventaire M'!D222="Option/Future",'Inventaire M'!D222="TCN",'Inventaire M'!D222=""),"-",'Inventaire M'!B222)</f>
        <v>-</v>
      </c>
      <c r="D444" s="175"/>
      <c r="E444" s="175" t="str">
        <f>IF(B444="-","",INDEX('Inventaire M'!$A$2:$AW$9305,MATCH(B444,'Inventaire M'!$A:$A,0)-1,MATCH("Cours EUR",'Inventaire M'!#REF!,0)))</f>
        <v/>
      </c>
      <c r="F444" s="175" t="str">
        <f>IF(B444="-","",IF(ISERROR(INDEX('Inventaire M-1'!$A$2:$AZ$9320,MATCH(B444,'Inventaire M-1'!$A:$A,0)-1,MATCH("Cours EUR",'Inventaire M-1'!#REF!,0))),"Buy",INDEX('Inventaire M-1'!$A$2:$AZ$9320,MATCH(B444,'Inventaire M-1'!$A:$A,0)-1,MATCH("Cours EUR",'Inventaire M-1'!#REF!,0))))</f>
        <v/>
      </c>
      <c r="G444" s="175"/>
      <c r="H444" s="156" t="str">
        <f>IF(B444="-","",INDEX('Inventaire M'!$A$2:$AW$9305,MATCH(B444,'Inventaire M'!$A:$A,0)-1,MATCH("quantite",'Inventaire M'!#REF!,0)))</f>
        <v/>
      </c>
      <c r="I444" s="156" t="str">
        <f>IF(C444="-","",IF(ISERROR(INDEX('Inventaire M-1'!$A$2:$AZ$9320,MATCH(B444,'Inventaire M-1'!$A:$A,0)-1,MATCH("quantite",'Inventaire M-1'!#REF!,0))),"Buy",INDEX('Inventaire M-1'!$A$2:$AZ$9320,MATCH(B444,'Inventaire M-1'!$A:$A,0)-1,MATCH("quantite",'Inventaire M-1'!#REF!,0))))</f>
        <v/>
      </c>
      <c r="J444" s="175"/>
      <c r="K444" s="155" t="str">
        <f>IF(B444="-","",INDEX('Inventaire M'!$A$2:$AW$9305,MATCH(B444,'Inventaire M'!$A:$A,0)-1,MATCH("poids",'Inventaire M'!#REF!,0)))</f>
        <v/>
      </c>
      <c r="L444" s="155" t="str">
        <f>IF(B444="-","",IF(ISERROR(INDEX('Inventaire M-1'!$A$2:$AZ$9320,MATCH(B444,'Inventaire M-1'!$A:$A,0)-1,MATCH("poids",'Inventaire M-1'!#REF!,0))),"Buy",INDEX('Inventaire M-1'!$A$2:$AZ$9320,MATCH(B444,'Inventaire M-1'!$A:$A,0)-1,MATCH("poids",'Inventaire M-1'!#REF!,0))))</f>
        <v/>
      </c>
      <c r="M444" s="175"/>
      <c r="N444" s="157" t="str">
        <f t="shared" si="42"/>
        <v>0</v>
      </c>
      <c r="O444" s="98" t="str">
        <f t="shared" si="43"/>
        <v/>
      </c>
      <c r="P444" s="80" t="str">
        <f t="shared" si="44"/>
        <v>-</v>
      </c>
      <c r="Q444" s="75">
        <v>4.1999999999999999E-8</v>
      </c>
      <c r="R444" s="175" t="str">
        <f>IF(OR('Inventaire M-1'!D196="Dispo/Liquidité Investie",'Inventaire M-1'!D196="Option/Future",'Inventaire M-1'!D196="TCN",'Inventaire M-1'!D196=""),"-",'Inventaire M-1'!A196)</f>
        <v>-</v>
      </c>
      <c r="S444" s="175" t="str">
        <f>IF(OR('Inventaire M-1'!D196="Dispo/Liquidité Investie",'Inventaire M-1'!D196="Option/Future",'Inventaire M-1'!D196="TCN",'Inventaire M-1'!D196=""),"-",'Inventaire M-1'!B196)</f>
        <v>-</v>
      </c>
      <c r="T444" s="175"/>
      <c r="U444" s="175" t="str">
        <f>IF(R444="-","",INDEX('Inventaire M-1'!$A$2:$AG$9334,MATCH(R444,'Inventaire M-1'!$A:$A,0)-1,MATCH("Cours EUR",'Inventaire M-1'!#REF!,0)))</f>
        <v/>
      </c>
      <c r="V444" s="175" t="str">
        <f>IF(R444="-","",IF(ISERROR(INDEX('Inventaire M'!$A$2:$AD$9319,MATCH(R444,'Inventaire M'!$A:$A,0)-1,MATCH("Cours EUR",'Inventaire M'!#REF!,0))),"Sell",INDEX('Inventaire M'!$A$2:$AD$9319,MATCH(R444,'Inventaire M'!$A:$A,0)-1,MATCH("Cours EUR",'Inventaire M'!#REF!,0))))</f>
        <v/>
      </c>
      <c r="W444" s="175"/>
      <c r="X444" s="156" t="str">
        <f>IF(R444="-","",INDEX('Inventaire M-1'!$A$2:$AG$9334,MATCH(R444,'Inventaire M-1'!$A:$A,0)-1,MATCH("quantite",'Inventaire M-1'!#REF!,0)))</f>
        <v/>
      </c>
      <c r="Y444" s="156" t="str">
        <f>IF(S444="-","",IF(ISERROR(INDEX('Inventaire M'!$A$2:$AD$9319,MATCH(R444,'Inventaire M'!$A:$A,0)-1,MATCH("quantite",'Inventaire M'!#REF!,0))),"Sell",INDEX('Inventaire M'!$A$2:$AD$9319,MATCH(R444,'Inventaire M'!$A:$A,0)-1,MATCH("quantite",'Inventaire M'!#REF!,0))))</f>
        <v/>
      </c>
      <c r="Z444" s="175"/>
      <c r="AA444" s="155" t="str">
        <f>IF(R444="-","",INDEX('Inventaire M-1'!$A$2:$AG$9334,MATCH(R444,'Inventaire M-1'!$A:$A,0)-1,MATCH("poids",'Inventaire M-1'!#REF!,0)))</f>
        <v/>
      </c>
      <c r="AB444" s="155" t="str">
        <f>IF(R444="-","",IF(ISERROR(INDEX('Inventaire M'!$A$2:$AD$9319,MATCH(R444,'Inventaire M'!$A:$A,0)-1,MATCH("poids",'Inventaire M'!#REF!,0))),"Sell",INDEX('Inventaire M'!$A$2:$AD$9319,MATCH(R444,'Inventaire M'!$A:$A,0)-1,MATCH("poids",'Inventaire M'!#REF!,0))))</f>
        <v/>
      </c>
      <c r="AC444" s="175"/>
      <c r="AD444" s="157" t="str">
        <f t="shared" si="48"/>
        <v>0</v>
      </c>
      <c r="AE444" s="98" t="str">
        <f t="shared" si="49"/>
        <v/>
      </c>
      <c r="AF444" s="80" t="str">
        <f t="shared" si="50"/>
        <v>-</v>
      </c>
    </row>
    <row r="445" spans="2:32" outlineLevel="1">
      <c r="B445" s="175" t="str">
        <f>IF(OR('Inventaire M'!D223="Dispo/Liquidité Investie",'Inventaire M'!D223="Option/Future",'Inventaire M'!D223="TCN",'Inventaire M'!D223=""),"-",'Inventaire M'!A223)</f>
        <v>-</v>
      </c>
      <c r="C445" s="175" t="str">
        <f>IF(OR('Inventaire M'!D223="Dispo/Liquidité Investie",'Inventaire M'!D223="Option/Future",'Inventaire M'!D223="TCN",'Inventaire M'!D223=""),"-",'Inventaire M'!B223)</f>
        <v>-</v>
      </c>
      <c r="D445" s="175"/>
      <c r="E445" s="175" t="str">
        <f>IF(B445="-","",INDEX('Inventaire M'!$A$2:$AW$9305,MATCH(B445,'Inventaire M'!$A:$A,0)-1,MATCH("Cours EUR",'Inventaire M'!#REF!,0)))</f>
        <v/>
      </c>
      <c r="F445" s="175" t="str">
        <f>IF(B445="-","",IF(ISERROR(INDEX('Inventaire M-1'!$A$2:$AZ$9320,MATCH(B445,'Inventaire M-1'!$A:$A,0)-1,MATCH("Cours EUR",'Inventaire M-1'!#REF!,0))),"Buy",INDEX('Inventaire M-1'!$A$2:$AZ$9320,MATCH(B445,'Inventaire M-1'!$A:$A,0)-1,MATCH("Cours EUR",'Inventaire M-1'!#REF!,0))))</f>
        <v/>
      </c>
      <c r="G445" s="175"/>
      <c r="H445" s="156" t="str">
        <f>IF(B445="-","",INDEX('Inventaire M'!$A$2:$AW$9305,MATCH(B445,'Inventaire M'!$A:$A,0)-1,MATCH("quantite",'Inventaire M'!#REF!,0)))</f>
        <v/>
      </c>
      <c r="I445" s="156" t="str">
        <f>IF(C445="-","",IF(ISERROR(INDEX('Inventaire M-1'!$A$2:$AZ$9320,MATCH(B445,'Inventaire M-1'!$A:$A,0)-1,MATCH("quantite",'Inventaire M-1'!#REF!,0))),"Buy",INDEX('Inventaire M-1'!$A$2:$AZ$9320,MATCH(B445,'Inventaire M-1'!$A:$A,0)-1,MATCH("quantite",'Inventaire M-1'!#REF!,0))))</f>
        <v/>
      </c>
      <c r="J445" s="175"/>
      <c r="K445" s="155" t="str">
        <f>IF(B445="-","",INDEX('Inventaire M'!$A$2:$AW$9305,MATCH(B445,'Inventaire M'!$A:$A,0)-1,MATCH("poids",'Inventaire M'!#REF!,0)))</f>
        <v/>
      </c>
      <c r="L445" s="155" t="str">
        <f>IF(B445="-","",IF(ISERROR(INDEX('Inventaire M-1'!$A$2:$AZ$9320,MATCH(B445,'Inventaire M-1'!$A:$A,0)-1,MATCH("poids",'Inventaire M-1'!#REF!,0))),"Buy",INDEX('Inventaire M-1'!$A$2:$AZ$9320,MATCH(B445,'Inventaire M-1'!$A:$A,0)-1,MATCH("poids",'Inventaire M-1'!#REF!,0))))</f>
        <v/>
      </c>
      <c r="M445" s="175"/>
      <c r="N445" s="157" t="str">
        <f t="shared" si="42"/>
        <v>0</v>
      </c>
      <c r="O445" s="98" t="str">
        <f t="shared" si="43"/>
        <v/>
      </c>
      <c r="P445" s="80" t="str">
        <f t="shared" si="44"/>
        <v>-</v>
      </c>
      <c r="Q445" s="75">
        <v>4.21E-8</v>
      </c>
      <c r="R445" s="175" t="str">
        <f>IF(OR('Inventaire M-1'!D197="Dispo/Liquidité Investie",'Inventaire M-1'!D197="Option/Future",'Inventaire M-1'!D197="TCN",'Inventaire M-1'!D197=""),"-",'Inventaire M-1'!A197)</f>
        <v>-</v>
      </c>
      <c r="S445" s="175" t="str">
        <f>IF(OR('Inventaire M-1'!D197="Dispo/Liquidité Investie",'Inventaire M-1'!D197="Option/Future",'Inventaire M-1'!D197="TCN",'Inventaire M-1'!D197=""),"-",'Inventaire M-1'!B197)</f>
        <v>-</v>
      </c>
      <c r="T445" s="175"/>
      <c r="U445" s="175" t="str">
        <f>IF(R445="-","",INDEX('Inventaire M-1'!$A$2:$AG$9334,MATCH(R445,'Inventaire M-1'!$A:$A,0)-1,MATCH("Cours EUR",'Inventaire M-1'!#REF!,0)))</f>
        <v/>
      </c>
      <c r="V445" s="175" t="str">
        <f>IF(R445="-","",IF(ISERROR(INDEX('Inventaire M'!$A$2:$AD$9319,MATCH(R445,'Inventaire M'!$A:$A,0)-1,MATCH("Cours EUR",'Inventaire M'!#REF!,0))),"Sell",INDEX('Inventaire M'!$A$2:$AD$9319,MATCH(R445,'Inventaire M'!$A:$A,0)-1,MATCH("Cours EUR",'Inventaire M'!#REF!,0))))</f>
        <v/>
      </c>
      <c r="W445" s="175"/>
      <c r="X445" s="156" t="str">
        <f>IF(R445="-","",INDEX('Inventaire M-1'!$A$2:$AG$9334,MATCH(R445,'Inventaire M-1'!$A:$A,0)-1,MATCH("quantite",'Inventaire M-1'!#REF!,0)))</f>
        <v/>
      </c>
      <c r="Y445" s="156" t="str">
        <f>IF(S445="-","",IF(ISERROR(INDEX('Inventaire M'!$A$2:$AD$9319,MATCH(R445,'Inventaire M'!$A:$A,0)-1,MATCH("quantite",'Inventaire M'!#REF!,0))),"Sell",INDEX('Inventaire M'!$A$2:$AD$9319,MATCH(R445,'Inventaire M'!$A:$A,0)-1,MATCH("quantite",'Inventaire M'!#REF!,0))))</f>
        <v/>
      </c>
      <c r="Z445" s="175"/>
      <c r="AA445" s="155" t="str">
        <f>IF(R445="-","",INDEX('Inventaire M-1'!$A$2:$AG$9334,MATCH(R445,'Inventaire M-1'!$A:$A,0)-1,MATCH("poids",'Inventaire M-1'!#REF!,0)))</f>
        <v/>
      </c>
      <c r="AB445" s="155" t="str">
        <f>IF(R445="-","",IF(ISERROR(INDEX('Inventaire M'!$A$2:$AD$9319,MATCH(R445,'Inventaire M'!$A:$A,0)-1,MATCH("poids",'Inventaire M'!#REF!,0))),"Sell",INDEX('Inventaire M'!$A$2:$AD$9319,MATCH(R445,'Inventaire M'!$A:$A,0)-1,MATCH("poids",'Inventaire M'!#REF!,0))))</f>
        <v/>
      </c>
      <c r="AC445" s="175"/>
      <c r="AD445" s="157" t="str">
        <f t="shared" si="48"/>
        <v>0</v>
      </c>
      <c r="AE445" s="98" t="str">
        <f t="shared" si="49"/>
        <v/>
      </c>
      <c r="AF445" s="80" t="str">
        <f t="shared" si="50"/>
        <v>-</v>
      </c>
    </row>
    <row r="446" spans="2:32" outlineLevel="1">
      <c r="B446" s="175" t="str">
        <f>IF(OR('Inventaire M'!D224="Dispo/Liquidité Investie",'Inventaire M'!D224="Option/Future",'Inventaire M'!D224="TCN",'Inventaire M'!D224=""),"-",'Inventaire M'!A224)</f>
        <v>-</v>
      </c>
      <c r="C446" s="175" t="str">
        <f>IF(OR('Inventaire M'!D224="Dispo/Liquidité Investie",'Inventaire M'!D224="Option/Future",'Inventaire M'!D224="TCN",'Inventaire M'!D224=""),"-",'Inventaire M'!B224)</f>
        <v>-</v>
      </c>
      <c r="D446" s="175"/>
      <c r="E446" s="175" t="str">
        <f>IF(B446="-","",INDEX('Inventaire M'!$A$2:$AW$9305,MATCH(B446,'Inventaire M'!$A:$A,0)-1,MATCH("Cours EUR",'Inventaire M'!#REF!,0)))</f>
        <v/>
      </c>
      <c r="F446" s="175" t="str">
        <f>IF(B446="-","",IF(ISERROR(INDEX('Inventaire M-1'!$A$2:$AZ$9320,MATCH(B446,'Inventaire M-1'!$A:$A,0)-1,MATCH("Cours EUR",'Inventaire M-1'!#REF!,0))),"Buy",INDEX('Inventaire M-1'!$A$2:$AZ$9320,MATCH(B446,'Inventaire M-1'!$A:$A,0)-1,MATCH("Cours EUR",'Inventaire M-1'!#REF!,0))))</f>
        <v/>
      </c>
      <c r="G446" s="175"/>
      <c r="H446" s="156" t="str">
        <f>IF(B446="-","",INDEX('Inventaire M'!$A$2:$AW$9305,MATCH(B446,'Inventaire M'!$A:$A,0)-1,MATCH("quantite",'Inventaire M'!#REF!,0)))</f>
        <v/>
      </c>
      <c r="I446" s="156" t="str">
        <f>IF(C446="-","",IF(ISERROR(INDEX('Inventaire M-1'!$A$2:$AZ$9320,MATCH(B446,'Inventaire M-1'!$A:$A,0)-1,MATCH("quantite",'Inventaire M-1'!#REF!,0))),"Buy",INDEX('Inventaire M-1'!$A$2:$AZ$9320,MATCH(B446,'Inventaire M-1'!$A:$A,0)-1,MATCH("quantite",'Inventaire M-1'!#REF!,0))))</f>
        <v/>
      </c>
      <c r="J446" s="175"/>
      <c r="K446" s="155" t="str">
        <f>IF(B446="-","",INDEX('Inventaire M'!$A$2:$AW$9305,MATCH(B446,'Inventaire M'!$A:$A,0)-1,MATCH("poids",'Inventaire M'!#REF!,0)))</f>
        <v/>
      </c>
      <c r="L446" s="155" t="str">
        <f>IF(B446="-","",IF(ISERROR(INDEX('Inventaire M-1'!$A$2:$AZ$9320,MATCH(B446,'Inventaire M-1'!$A:$A,0)-1,MATCH("poids",'Inventaire M-1'!#REF!,0))),"Buy",INDEX('Inventaire M-1'!$A$2:$AZ$9320,MATCH(B446,'Inventaire M-1'!$A:$A,0)-1,MATCH("poids",'Inventaire M-1'!#REF!,0))))</f>
        <v/>
      </c>
      <c r="M446" s="175"/>
      <c r="N446" s="157" t="str">
        <f t="shared" si="42"/>
        <v>0</v>
      </c>
      <c r="O446" s="98" t="str">
        <f t="shared" si="43"/>
        <v/>
      </c>
      <c r="P446" s="80" t="str">
        <f t="shared" si="44"/>
        <v>-</v>
      </c>
      <c r="Q446" s="75">
        <v>4.2200000000000001E-8</v>
      </c>
      <c r="R446" s="175" t="str">
        <f>IF(OR('Inventaire M-1'!D198="Dispo/Liquidité Investie",'Inventaire M-1'!D198="Option/Future",'Inventaire M-1'!D198="TCN",'Inventaire M-1'!D198=""),"-",'Inventaire M-1'!A198)</f>
        <v>-</v>
      </c>
      <c r="S446" s="175" t="str">
        <f>IF(OR('Inventaire M-1'!D198="Dispo/Liquidité Investie",'Inventaire M-1'!D198="Option/Future",'Inventaire M-1'!D198="TCN",'Inventaire M-1'!D198=""),"-",'Inventaire M-1'!B198)</f>
        <v>-</v>
      </c>
      <c r="T446" s="175"/>
      <c r="U446" s="175" t="str">
        <f>IF(R446="-","",INDEX('Inventaire M-1'!$A$2:$AG$9334,MATCH(R446,'Inventaire M-1'!$A:$A,0)-1,MATCH("Cours EUR",'Inventaire M-1'!#REF!,0)))</f>
        <v/>
      </c>
      <c r="V446" s="175" t="str">
        <f>IF(R446="-","",IF(ISERROR(INDEX('Inventaire M'!$A$2:$AD$9319,MATCH(R446,'Inventaire M'!$A:$A,0)-1,MATCH("Cours EUR",'Inventaire M'!#REF!,0))),"Sell",INDEX('Inventaire M'!$A$2:$AD$9319,MATCH(R446,'Inventaire M'!$A:$A,0)-1,MATCH("Cours EUR",'Inventaire M'!#REF!,0))))</f>
        <v/>
      </c>
      <c r="W446" s="175"/>
      <c r="X446" s="156" t="str">
        <f>IF(R446="-","",INDEX('Inventaire M-1'!$A$2:$AG$9334,MATCH(R446,'Inventaire M-1'!$A:$A,0)-1,MATCH("quantite",'Inventaire M-1'!#REF!,0)))</f>
        <v/>
      </c>
      <c r="Y446" s="156" t="str">
        <f>IF(S446="-","",IF(ISERROR(INDEX('Inventaire M'!$A$2:$AD$9319,MATCH(R446,'Inventaire M'!$A:$A,0)-1,MATCH("quantite",'Inventaire M'!#REF!,0))),"Sell",INDEX('Inventaire M'!$A$2:$AD$9319,MATCH(R446,'Inventaire M'!$A:$A,0)-1,MATCH("quantite",'Inventaire M'!#REF!,0))))</f>
        <v/>
      </c>
      <c r="Z446" s="175"/>
      <c r="AA446" s="155" t="str">
        <f>IF(R446="-","",INDEX('Inventaire M-1'!$A$2:$AG$9334,MATCH(R446,'Inventaire M-1'!$A:$A,0)-1,MATCH("poids",'Inventaire M-1'!#REF!,0)))</f>
        <v/>
      </c>
      <c r="AB446" s="155" t="str">
        <f>IF(R446="-","",IF(ISERROR(INDEX('Inventaire M'!$A$2:$AD$9319,MATCH(R446,'Inventaire M'!$A:$A,0)-1,MATCH("poids",'Inventaire M'!#REF!,0))),"Sell",INDEX('Inventaire M'!$A$2:$AD$9319,MATCH(R446,'Inventaire M'!$A:$A,0)-1,MATCH("poids",'Inventaire M'!#REF!,0))))</f>
        <v/>
      </c>
      <c r="AC446" s="175"/>
      <c r="AD446" s="157" t="str">
        <f t="shared" si="48"/>
        <v>0</v>
      </c>
      <c r="AE446" s="98" t="str">
        <f t="shared" si="49"/>
        <v/>
      </c>
      <c r="AF446" s="80" t="str">
        <f t="shared" si="50"/>
        <v>-</v>
      </c>
    </row>
    <row r="447" spans="2:32" outlineLevel="1">
      <c r="B447" s="175" t="str">
        <f>IF(OR('Inventaire M'!D225="Dispo/Liquidité Investie",'Inventaire M'!D225="Option/Future",'Inventaire M'!D225="TCN",'Inventaire M'!D225=""),"-",'Inventaire M'!A225)</f>
        <v>-</v>
      </c>
      <c r="C447" s="175" t="str">
        <f>IF(OR('Inventaire M'!D225="Dispo/Liquidité Investie",'Inventaire M'!D225="Option/Future",'Inventaire M'!D225="TCN",'Inventaire M'!D225=""),"-",'Inventaire M'!B225)</f>
        <v>-</v>
      </c>
      <c r="D447" s="175"/>
      <c r="E447" s="175" t="str">
        <f>IF(B447="-","",INDEX('Inventaire M'!$A$2:$AW$9305,MATCH(B447,'Inventaire M'!$A:$A,0)-1,MATCH("Cours EUR",'Inventaire M'!#REF!,0)))</f>
        <v/>
      </c>
      <c r="F447" s="175" t="str">
        <f>IF(B447="-","",IF(ISERROR(INDEX('Inventaire M-1'!$A$2:$AZ$9320,MATCH(B447,'Inventaire M-1'!$A:$A,0)-1,MATCH("Cours EUR",'Inventaire M-1'!#REF!,0))),"Buy",INDEX('Inventaire M-1'!$A$2:$AZ$9320,MATCH(B447,'Inventaire M-1'!$A:$A,0)-1,MATCH("Cours EUR",'Inventaire M-1'!#REF!,0))))</f>
        <v/>
      </c>
      <c r="G447" s="175"/>
      <c r="H447" s="156" t="str">
        <f>IF(B447="-","",INDEX('Inventaire M'!$A$2:$AW$9305,MATCH(B447,'Inventaire M'!$A:$A,0)-1,MATCH("quantite",'Inventaire M'!#REF!,0)))</f>
        <v/>
      </c>
      <c r="I447" s="156" t="str">
        <f>IF(C447="-","",IF(ISERROR(INDEX('Inventaire M-1'!$A$2:$AZ$9320,MATCH(B447,'Inventaire M-1'!$A:$A,0)-1,MATCH("quantite",'Inventaire M-1'!#REF!,0))),"Buy",INDEX('Inventaire M-1'!$A$2:$AZ$9320,MATCH(B447,'Inventaire M-1'!$A:$A,0)-1,MATCH("quantite",'Inventaire M-1'!#REF!,0))))</f>
        <v/>
      </c>
      <c r="J447" s="175"/>
      <c r="K447" s="155" t="str">
        <f>IF(B447="-","",INDEX('Inventaire M'!$A$2:$AW$9305,MATCH(B447,'Inventaire M'!$A:$A,0)-1,MATCH("poids",'Inventaire M'!#REF!,0)))</f>
        <v/>
      </c>
      <c r="L447" s="155" t="str">
        <f>IF(B447="-","",IF(ISERROR(INDEX('Inventaire M-1'!$A$2:$AZ$9320,MATCH(B447,'Inventaire M-1'!$A:$A,0)-1,MATCH("poids",'Inventaire M-1'!#REF!,0))),"Buy",INDEX('Inventaire M-1'!$A$2:$AZ$9320,MATCH(B447,'Inventaire M-1'!$A:$A,0)-1,MATCH("poids",'Inventaire M-1'!#REF!,0))))</f>
        <v/>
      </c>
      <c r="M447" s="175"/>
      <c r="N447" s="157" t="str">
        <f t="shared" si="42"/>
        <v>0</v>
      </c>
      <c r="O447" s="98" t="str">
        <f t="shared" si="43"/>
        <v/>
      </c>
      <c r="P447" s="80" t="str">
        <f t="shared" si="44"/>
        <v>-</v>
      </c>
      <c r="Q447" s="75">
        <v>4.2300000000000002E-8</v>
      </c>
      <c r="R447" s="175" t="str">
        <f>IF(OR('Inventaire M-1'!D199="Dispo/Liquidité Investie",'Inventaire M-1'!D199="Option/Future",'Inventaire M-1'!D199="TCN",'Inventaire M-1'!D199=""),"-",'Inventaire M-1'!A199)</f>
        <v>-</v>
      </c>
      <c r="S447" s="175" t="str">
        <f>IF(OR('Inventaire M-1'!D199="Dispo/Liquidité Investie",'Inventaire M-1'!D199="Option/Future",'Inventaire M-1'!D199="TCN",'Inventaire M-1'!D199=""),"-",'Inventaire M-1'!B199)</f>
        <v>-</v>
      </c>
      <c r="T447" s="175"/>
      <c r="U447" s="175" t="str">
        <f>IF(R447="-","",INDEX('Inventaire M-1'!$A$2:$AG$9334,MATCH(R447,'Inventaire M-1'!$A:$A,0)-1,MATCH("Cours EUR",'Inventaire M-1'!#REF!,0)))</f>
        <v/>
      </c>
      <c r="V447" s="175" t="str">
        <f>IF(R447="-","",IF(ISERROR(INDEX('Inventaire M'!$A$2:$AD$9319,MATCH(R447,'Inventaire M'!$A:$A,0)-1,MATCH("Cours EUR",'Inventaire M'!#REF!,0))),"Sell",INDEX('Inventaire M'!$A$2:$AD$9319,MATCH(R447,'Inventaire M'!$A:$A,0)-1,MATCH("Cours EUR",'Inventaire M'!#REF!,0))))</f>
        <v/>
      </c>
      <c r="W447" s="175"/>
      <c r="X447" s="156" t="str">
        <f>IF(R447="-","",INDEX('Inventaire M-1'!$A$2:$AG$9334,MATCH(R447,'Inventaire M-1'!$A:$A,0)-1,MATCH("quantite",'Inventaire M-1'!#REF!,0)))</f>
        <v/>
      </c>
      <c r="Y447" s="156" t="str">
        <f>IF(S447="-","",IF(ISERROR(INDEX('Inventaire M'!$A$2:$AD$9319,MATCH(R447,'Inventaire M'!$A:$A,0)-1,MATCH("quantite",'Inventaire M'!#REF!,0))),"Sell",INDEX('Inventaire M'!$A$2:$AD$9319,MATCH(R447,'Inventaire M'!$A:$A,0)-1,MATCH("quantite",'Inventaire M'!#REF!,0))))</f>
        <v/>
      </c>
      <c r="Z447" s="175"/>
      <c r="AA447" s="155" t="str">
        <f>IF(R447="-","",INDEX('Inventaire M-1'!$A$2:$AG$9334,MATCH(R447,'Inventaire M-1'!$A:$A,0)-1,MATCH("poids",'Inventaire M-1'!#REF!,0)))</f>
        <v/>
      </c>
      <c r="AB447" s="155" t="str">
        <f>IF(R447="-","",IF(ISERROR(INDEX('Inventaire M'!$A$2:$AD$9319,MATCH(R447,'Inventaire M'!$A:$A,0)-1,MATCH("poids",'Inventaire M'!#REF!,0))),"Sell",INDEX('Inventaire M'!$A$2:$AD$9319,MATCH(R447,'Inventaire M'!$A:$A,0)-1,MATCH("poids",'Inventaire M'!#REF!,0))))</f>
        <v/>
      </c>
      <c r="AC447" s="175"/>
      <c r="AD447" s="157" t="str">
        <f t="shared" si="48"/>
        <v>0</v>
      </c>
      <c r="AE447" s="98" t="str">
        <f t="shared" si="49"/>
        <v/>
      </c>
      <c r="AF447" s="80" t="str">
        <f t="shared" si="50"/>
        <v>-</v>
      </c>
    </row>
    <row r="448" spans="2:32" outlineLevel="1">
      <c r="B448" s="175" t="str">
        <f>IF(OR('Inventaire M'!D226="Dispo/Liquidité Investie",'Inventaire M'!D226="Option/Future",'Inventaire M'!D226="TCN",'Inventaire M'!D226=""),"-",'Inventaire M'!A226)</f>
        <v>-</v>
      </c>
      <c r="C448" s="175" t="str">
        <f>IF(OR('Inventaire M'!D226="Dispo/Liquidité Investie",'Inventaire M'!D226="Option/Future",'Inventaire M'!D226="TCN",'Inventaire M'!D226=""),"-",'Inventaire M'!B226)</f>
        <v>-</v>
      </c>
      <c r="D448" s="175"/>
      <c r="E448" s="175" t="str">
        <f>IF(B448="-","",INDEX('Inventaire M'!$A$2:$AW$9305,MATCH(B448,'Inventaire M'!$A:$A,0)-1,MATCH("Cours EUR",'Inventaire M'!#REF!,0)))</f>
        <v/>
      </c>
      <c r="F448" s="175" t="str">
        <f>IF(B448="-","",IF(ISERROR(INDEX('Inventaire M-1'!$A$2:$AZ$9320,MATCH(B448,'Inventaire M-1'!$A:$A,0)-1,MATCH("Cours EUR",'Inventaire M-1'!#REF!,0))),"Buy",INDEX('Inventaire M-1'!$A$2:$AZ$9320,MATCH(B448,'Inventaire M-1'!$A:$A,0)-1,MATCH("Cours EUR",'Inventaire M-1'!#REF!,0))))</f>
        <v/>
      </c>
      <c r="G448" s="175"/>
      <c r="H448" s="156" t="str">
        <f>IF(B448="-","",INDEX('Inventaire M'!$A$2:$AW$9305,MATCH(B448,'Inventaire M'!$A:$A,0)-1,MATCH("quantite",'Inventaire M'!#REF!,0)))</f>
        <v/>
      </c>
      <c r="I448" s="156" t="str">
        <f>IF(C448="-","",IF(ISERROR(INDEX('Inventaire M-1'!$A$2:$AZ$9320,MATCH(B448,'Inventaire M-1'!$A:$A,0)-1,MATCH("quantite",'Inventaire M-1'!#REF!,0))),"Buy",INDEX('Inventaire M-1'!$A$2:$AZ$9320,MATCH(B448,'Inventaire M-1'!$A:$A,0)-1,MATCH("quantite",'Inventaire M-1'!#REF!,0))))</f>
        <v/>
      </c>
      <c r="J448" s="175"/>
      <c r="K448" s="155" t="str">
        <f>IF(B448="-","",INDEX('Inventaire M'!$A$2:$AW$9305,MATCH(B448,'Inventaire M'!$A:$A,0)-1,MATCH("poids",'Inventaire M'!#REF!,0)))</f>
        <v/>
      </c>
      <c r="L448" s="155" t="str">
        <f>IF(B448="-","",IF(ISERROR(INDEX('Inventaire M-1'!$A$2:$AZ$9320,MATCH(B448,'Inventaire M-1'!$A:$A,0)-1,MATCH("poids",'Inventaire M-1'!#REF!,0))),"Buy",INDEX('Inventaire M-1'!$A$2:$AZ$9320,MATCH(B448,'Inventaire M-1'!$A:$A,0)-1,MATCH("poids",'Inventaire M-1'!#REF!,0))))</f>
        <v/>
      </c>
      <c r="M448" s="175"/>
      <c r="N448" s="157" t="str">
        <f t="shared" si="42"/>
        <v>0</v>
      </c>
      <c r="O448" s="98" t="str">
        <f t="shared" si="43"/>
        <v/>
      </c>
      <c r="P448" s="80" t="str">
        <f t="shared" si="44"/>
        <v>-</v>
      </c>
      <c r="Q448" s="75">
        <v>4.2400000000000002E-8</v>
      </c>
      <c r="R448" s="175" t="str">
        <f>IF(OR('Inventaire M-1'!D200="Dispo/Liquidité Investie",'Inventaire M-1'!D200="Option/Future",'Inventaire M-1'!D200="TCN",'Inventaire M-1'!D200=""),"-",'Inventaire M-1'!A200)</f>
        <v>-</v>
      </c>
      <c r="S448" s="175" t="str">
        <f>IF(OR('Inventaire M-1'!D200="Dispo/Liquidité Investie",'Inventaire M-1'!D200="Option/Future",'Inventaire M-1'!D200="TCN",'Inventaire M-1'!D200=""),"-",'Inventaire M-1'!B200)</f>
        <v>-</v>
      </c>
      <c r="T448" s="175"/>
      <c r="U448" s="175" t="str">
        <f>IF(R448="-","",INDEX('Inventaire M-1'!$A$2:$AG$9334,MATCH(R448,'Inventaire M-1'!$A:$A,0)-1,MATCH("Cours EUR",'Inventaire M-1'!#REF!,0)))</f>
        <v/>
      </c>
      <c r="V448" s="175" t="str">
        <f>IF(R448="-","",IF(ISERROR(INDEX('Inventaire M'!$A$2:$AD$9319,MATCH(R448,'Inventaire M'!$A:$A,0)-1,MATCH("Cours EUR",'Inventaire M'!#REF!,0))),"Sell",INDEX('Inventaire M'!$A$2:$AD$9319,MATCH(R448,'Inventaire M'!$A:$A,0)-1,MATCH("Cours EUR",'Inventaire M'!#REF!,0))))</f>
        <v/>
      </c>
      <c r="W448" s="175"/>
      <c r="X448" s="156" t="str">
        <f>IF(R448="-","",INDEX('Inventaire M-1'!$A$2:$AG$9334,MATCH(R448,'Inventaire M-1'!$A:$A,0)-1,MATCH("quantite",'Inventaire M-1'!#REF!,0)))</f>
        <v/>
      </c>
      <c r="Y448" s="156" t="str">
        <f>IF(S448="-","",IF(ISERROR(INDEX('Inventaire M'!$A$2:$AD$9319,MATCH(R448,'Inventaire M'!$A:$A,0)-1,MATCH("quantite",'Inventaire M'!#REF!,0))),"Sell",INDEX('Inventaire M'!$A$2:$AD$9319,MATCH(R448,'Inventaire M'!$A:$A,0)-1,MATCH("quantite",'Inventaire M'!#REF!,0))))</f>
        <v/>
      </c>
      <c r="Z448" s="175"/>
      <c r="AA448" s="155" t="str">
        <f>IF(R448="-","",INDEX('Inventaire M-1'!$A$2:$AG$9334,MATCH(R448,'Inventaire M-1'!$A:$A,0)-1,MATCH("poids",'Inventaire M-1'!#REF!,0)))</f>
        <v/>
      </c>
      <c r="AB448" s="155" t="str">
        <f>IF(R448="-","",IF(ISERROR(INDEX('Inventaire M'!$A$2:$AD$9319,MATCH(R448,'Inventaire M'!$A:$A,0)-1,MATCH("poids",'Inventaire M'!#REF!,0))),"Sell",INDEX('Inventaire M'!$A$2:$AD$9319,MATCH(R448,'Inventaire M'!$A:$A,0)-1,MATCH("poids",'Inventaire M'!#REF!,0))))</f>
        <v/>
      </c>
      <c r="AC448" s="175"/>
      <c r="AD448" s="157" t="str">
        <f t="shared" si="48"/>
        <v>0</v>
      </c>
      <c r="AE448" s="98" t="str">
        <f t="shared" si="49"/>
        <v/>
      </c>
      <c r="AF448" s="80" t="str">
        <f t="shared" si="50"/>
        <v>-</v>
      </c>
    </row>
    <row r="449" spans="2:32" outlineLevel="1">
      <c r="B449" s="175" t="str">
        <f>IF(OR('Inventaire M'!D227="Dispo/Liquidité Investie",'Inventaire M'!D227="Option/Future",'Inventaire M'!D227="TCN",'Inventaire M'!D227=""),"-",'Inventaire M'!A227)</f>
        <v>-</v>
      </c>
      <c r="C449" s="175" t="str">
        <f>IF(OR('Inventaire M'!D227="Dispo/Liquidité Investie",'Inventaire M'!D227="Option/Future",'Inventaire M'!D227="TCN",'Inventaire M'!D227=""),"-",'Inventaire M'!B227)</f>
        <v>-</v>
      </c>
      <c r="D449" s="175"/>
      <c r="E449" s="175" t="str">
        <f>IF(B449="-","",INDEX('Inventaire M'!$A$2:$AW$9305,MATCH(B449,'Inventaire M'!$A:$A,0)-1,MATCH("Cours EUR",'Inventaire M'!#REF!,0)))</f>
        <v/>
      </c>
      <c r="F449" s="175" t="str">
        <f>IF(B449="-","",IF(ISERROR(INDEX('Inventaire M-1'!$A$2:$AZ$9320,MATCH(B449,'Inventaire M-1'!$A:$A,0)-1,MATCH("Cours EUR",'Inventaire M-1'!#REF!,0))),"Buy",INDEX('Inventaire M-1'!$A$2:$AZ$9320,MATCH(B449,'Inventaire M-1'!$A:$A,0)-1,MATCH("Cours EUR",'Inventaire M-1'!#REF!,0))))</f>
        <v/>
      </c>
      <c r="G449" s="175"/>
      <c r="H449" s="156" t="str">
        <f>IF(B449="-","",INDEX('Inventaire M'!$A$2:$AW$9305,MATCH(B449,'Inventaire M'!$A:$A,0)-1,MATCH("quantite",'Inventaire M'!#REF!,0)))</f>
        <v/>
      </c>
      <c r="I449" s="156" t="str">
        <f>IF(C449="-","",IF(ISERROR(INDEX('Inventaire M-1'!$A$2:$AZ$9320,MATCH(B449,'Inventaire M-1'!$A:$A,0)-1,MATCH("quantite",'Inventaire M-1'!#REF!,0))),"Buy",INDEX('Inventaire M-1'!$A$2:$AZ$9320,MATCH(B449,'Inventaire M-1'!$A:$A,0)-1,MATCH("quantite",'Inventaire M-1'!#REF!,0))))</f>
        <v/>
      </c>
      <c r="J449" s="175"/>
      <c r="K449" s="155" t="str">
        <f>IF(B449="-","",INDEX('Inventaire M'!$A$2:$AW$9305,MATCH(B449,'Inventaire M'!$A:$A,0)-1,MATCH("poids",'Inventaire M'!#REF!,0)))</f>
        <v/>
      </c>
      <c r="L449" s="155" t="str">
        <f>IF(B449="-","",IF(ISERROR(INDEX('Inventaire M-1'!$A$2:$AZ$9320,MATCH(B449,'Inventaire M-1'!$A:$A,0)-1,MATCH("poids",'Inventaire M-1'!#REF!,0))),"Buy",INDEX('Inventaire M-1'!$A$2:$AZ$9320,MATCH(B449,'Inventaire M-1'!$A:$A,0)-1,MATCH("poids",'Inventaire M-1'!#REF!,0))))</f>
        <v/>
      </c>
      <c r="M449" s="175"/>
      <c r="N449" s="157" t="str">
        <f t="shared" si="42"/>
        <v>0</v>
      </c>
      <c r="O449" s="98" t="str">
        <f t="shared" si="43"/>
        <v/>
      </c>
      <c r="P449" s="80" t="str">
        <f t="shared" si="44"/>
        <v>-</v>
      </c>
      <c r="Q449" s="75">
        <v>4.2499999999999997E-8</v>
      </c>
      <c r="R449" s="175" t="str">
        <f>IF(OR('Inventaire M-1'!D201="Dispo/Liquidité Investie",'Inventaire M-1'!D201="Option/Future",'Inventaire M-1'!D201="TCN",'Inventaire M-1'!D201=""),"-",'Inventaire M-1'!A201)</f>
        <v>-</v>
      </c>
      <c r="S449" s="175" t="str">
        <f>IF(OR('Inventaire M-1'!D201="Dispo/Liquidité Investie",'Inventaire M-1'!D201="Option/Future",'Inventaire M-1'!D201="TCN",'Inventaire M-1'!D201=""),"-",'Inventaire M-1'!B201)</f>
        <v>-</v>
      </c>
      <c r="T449" s="175"/>
      <c r="U449" s="175" t="str">
        <f>IF(R449="-","",INDEX('Inventaire M-1'!$A$2:$AG$9334,MATCH(R449,'Inventaire M-1'!$A:$A,0)-1,MATCH("Cours EUR",'Inventaire M-1'!#REF!,0)))</f>
        <v/>
      </c>
      <c r="V449" s="175" t="str">
        <f>IF(R449="-","",IF(ISERROR(INDEX('Inventaire M'!$A$2:$AD$9319,MATCH(R449,'Inventaire M'!$A:$A,0)-1,MATCH("Cours EUR",'Inventaire M'!#REF!,0))),"Sell",INDEX('Inventaire M'!$A$2:$AD$9319,MATCH(R449,'Inventaire M'!$A:$A,0)-1,MATCH("Cours EUR",'Inventaire M'!#REF!,0))))</f>
        <v/>
      </c>
      <c r="W449" s="175"/>
      <c r="X449" s="156" t="str">
        <f>IF(R449="-","",INDEX('Inventaire M-1'!$A$2:$AG$9334,MATCH(R449,'Inventaire M-1'!$A:$A,0)-1,MATCH("quantite",'Inventaire M-1'!#REF!,0)))</f>
        <v/>
      </c>
      <c r="Y449" s="156" t="str">
        <f>IF(S449="-","",IF(ISERROR(INDEX('Inventaire M'!$A$2:$AD$9319,MATCH(R449,'Inventaire M'!$A:$A,0)-1,MATCH("quantite",'Inventaire M'!#REF!,0))),"Sell",INDEX('Inventaire M'!$A$2:$AD$9319,MATCH(R449,'Inventaire M'!$A:$A,0)-1,MATCH("quantite",'Inventaire M'!#REF!,0))))</f>
        <v/>
      </c>
      <c r="Z449" s="175"/>
      <c r="AA449" s="155" t="str">
        <f>IF(R449="-","",INDEX('Inventaire M-1'!$A$2:$AG$9334,MATCH(R449,'Inventaire M-1'!$A:$A,0)-1,MATCH("poids",'Inventaire M-1'!#REF!,0)))</f>
        <v/>
      </c>
      <c r="AB449" s="155" t="str">
        <f>IF(R449="-","",IF(ISERROR(INDEX('Inventaire M'!$A$2:$AD$9319,MATCH(R449,'Inventaire M'!$A:$A,0)-1,MATCH("poids",'Inventaire M'!#REF!,0))),"Sell",INDEX('Inventaire M'!$A$2:$AD$9319,MATCH(R449,'Inventaire M'!$A:$A,0)-1,MATCH("poids",'Inventaire M'!#REF!,0))))</f>
        <v/>
      </c>
      <c r="AC449" s="175"/>
      <c r="AD449" s="157" t="str">
        <f t="shared" si="48"/>
        <v>0</v>
      </c>
      <c r="AE449" s="98" t="str">
        <f t="shared" si="49"/>
        <v/>
      </c>
      <c r="AF449" s="80" t="str">
        <f t="shared" si="50"/>
        <v>-</v>
      </c>
    </row>
    <row r="450" spans="2:32" outlineLevel="1">
      <c r="B450" s="175" t="str">
        <f>IF(OR('Inventaire M'!D228="Dispo/Liquidité Investie",'Inventaire M'!D228="Option/Future",'Inventaire M'!D228="TCN",'Inventaire M'!D228=""),"-",'Inventaire M'!A228)</f>
        <v>-</v>
      </c>
      <c r="C450" s="175" t="str">
        <f>IF(OR('Inventaire M'!D228="Dispo/Liquidité Investie",'Inventaire M'!D228="Option/Future",'Inventaire M'!D228="TCN",'Inventaire M'!D228=""),"-",'Inventaire M'!B228)</f>
        <v>-</v>
      </c>
      <c r="D450" s="175"/>
      <c r="E450" s="175" t="str">
        <f>IF(B450="-","",INDEX('Inventaire M'!$A$2:$AW$9305,MATCH(B450,'Inventaire M'!$A:$A,0)-1,MATCH("Cours EUR",'Inventaire M'!#REF!,0)))</f>
        <v/>
      </c>
      <c r="F450" s="175" t="str">
        <f>IF(B450="-","",IF(ISERROR(INDEX('Inventaire M-1'!$A$2:$AZ$9320,MATCH(B450,'Inventaire M-1'!$A:$A,0)-1,MATCH("Cours EUR",'Inventaire M-1'!#REF!,0))),"Buy",INDEX('Inventaire M-1'!$A$2:$AZ$9320,MATCH(B450,'Inventaire M-1'!$A:$A,0)-1,MATCH("Cours EUR",'Inventaire M-1'!#REF!,0))))</f>
        <v/>
      </c>
      <c r="G450" s="175"/>
      <c r="H450" s="156" t="str">
        <f>IF(B450="-","",INDEX('Inventaire M'!$A$2:$AW$9305,MATCH(B450,'Inventaire M'!$A:$A,0)-1,MATCH("quantite",'Inventaire M'!#REF!,0)))</f>
        <v/>
      </c>
      <c r="I450" s="156" t="str">
        <f>IF(C450="-","",IF(ISERROR(INDEX('Inventaire M-1'!$A$2:$AZ$9320,MATCH(B450,'Inventaire M-1'!$A:$A,0)-1,MATCH("quantite",'Inventaire M-1'!#REF!,0))),"Buy",INDEX('Inventaire M-1'!$A$2:$AZ$9320,MATCH(B450,'Inventaire M-1'!$A:$A,0)-1,MATCH("quantite",'Inventaire M-1'!#REF!,0))))</f>
        <v/>
      </c>
      <c r="J450" s="175"/>
      <c r="K450" s="155" t="str">
        <f>IF(B450="-","",INDEX('Inventaire M'!$A$2:$AW$9305,MATCH(B450,'Inventaire M'!$A:$A,0)-1,MATCH("poids",'Inventaire M'!#REF!,0)))</f>
        <v/>
      </c>
      <c r="L450" s="155" t="str">
        <f>IF(B450="-","",IF(ISERROR(INDEX('Inventaire M-1'!$A$2:$AZ$9320,MATCH(B450,'Inventaire M-1'!$A:$A,0)-1,MATCH("poids",'Inventaire M-1'!#REF!,0))),"Buy",INDEX('Inventaire M-1'!$A$2:$AZ$9320,MATCH(B450,'Inventaire M-1'!$A:$A,0)-1,MATCH("poids",'Inventaire M-1'!#REF!,0))))</f>
        <v/>
      </c>
      <c r="M450" s="175"/>
      <c r="N450" s="157" t="str">
        <f t="shared" si="42"/>
        <v>0</v>
      </c>
      <c r="O450" s="98" t="str">
        <f t="shared" si="43"/>
        <v/>
      </c>
      <c r="P450" s="80" t="str">
        <f t="shared" si="44"/>
        <v>-</v>
      </c>
      <c r="Q450" s="75">
        <v>4.2599999999999998E-8</v>
      </c>
      <c r="R450" s="175" t="str">
        <f>IF(OR('Inventaire M-1'!D202="Dispo/Liquidité Investie",'Inventaire M-1'!D202="Option/Future",'Inventaire M-1'!D202="TCN",'Inventaire M-1'!D202=""),"-",'Inventaire M-1'!A202)</f>
        <v>-</v>
      </c>
      <c r="S450" s="175" t="str">
        <f>IF(OR('Inventaire M-1'!D202="Dispo/Liquidité Investie",'Inventaire M-1'!D202="Option/Future",'Inventaire M-1'!D202="TCN",'Inventaire M-1'!D202=""),"-",'Inventaire M-1'!B202)</f>
        <v>-</v>
      </c>
      <c r="T450" s="175"/>
      <c r="U450" s="175" t="str">
        <f>IF(R450="-","",INDEX('Inventaire M-1'!$A$2:$AG$9334,MATCH(R450,'Inventaire M-1'!$A:$A,0)-1,MATCH("Cours EUR",'Inventaire M-1'!#REF!,0)))</f>
        <v/>
      </c>
      <c r="V450" s="175" t="str">
        <f>IF(R450="-","",IF(ISERROR(INDEX('Inventaire M'!$A$2:$AD$9319,MATCH(R450,'Inventaire M'!$A:$A,0)-1,MATCH("Cours EUR",'Inventaire M'!#REF!,0))),"Sell",INDEX('Inventaire M'!$A$2:$AD$9319,MATCH(R450,'Inventaire M'!$A:$A,0)-1,MATCH("Cours EUR",'Inventaire M'!#REF!,0))))</f>
        <v/>
      </c>
      <c r="W450" s="175"/>
      <c r="X450" s="156" t="str">
        <f>IF(R450="-","",INDEX('Inventaire M-1'!$A$2:$AG$9334,MATCH(R450,'Inventaire M-1'!$A:$A,0)-1,MATCH("quantite",'Inventaire M-1'!#REF!,0)))</f>
        <v/>
      </c>
      <c r="Y450" s="156" t="str">
        <f>IF(S450="-","",IF(ISERROR(INDEX('Inventaire M'!$A$2:$AD$9319,MATCH(R450,'Inventaire M'!$A:$A,0)-1,MATCH("quantite",'Inventaire M'!#REF!,0))),"Sell",INDEX('Inventaire M'!$A$2:$AD$9319,MATCH(R450,'Inventaire M'!$A:$A,0)-1,MATCH("quantite",'Inventaire M'!#REF!,0))))</f>
        <v/>
      </c>
      <c r="Z450" s="175"/>
      <c r="AA450" s="155" t="str">
        <f>IF(R450="-","",INDEX('Inventaire M-1'!$A$2:$AG$9334,MATCH(R450,'Inventaire M-1'!$A:$A,0)-1,MATCH("poids",'Inventaire M-1'!#REF!,0)))</f>
        <v/>
      </c>
      <c r="AB450" s="155" t="str">
        <f>IF(R450="-","",IF(ISERROR(INDEX('Inventaire M'!$A$2:$AD$9319,MATCH(R450,'Inventaire M'!$A:$A,0)-1,MATCH("poids",'Inventaire M'!#REF!,0))),"Sell",INDEX('Inventaire M'!$A$2:$AD$9319,MATCH(R450,'Inventaire M'!$A:$A,0)-1,MATCH("poids",'Inventaire M'!#REF!,0))))</f>
        <v/>
      </c>
      <c r="AC450" s="175"/>
      <c r="AD450" s="157" t="str">
        <f t="shared" si="48"/>
        <v>0</v>
      </c>
      <c r="AE450" s="98" t="str">
        <f t="shared" si="49"/>
        <v/>
      </c>
      <c r="AF450" s="80" t="str">
        <f t="shared" si="50"/>
        <v>-</v>
      </c>
    </row>
    <row r="451" spans="2:32" outlineLevel="1">
      <c r="B451" s="175" t="str">
        <f>IF(OR('Inventaire M'!D224="Dispo/Liquidité Investie",'Inventaire M'!D224="Option/Future",'Inventaire M'!D224="TCN",'Inventaire M'!D224=""),"-",'Inventaire M'!A224)</f>
        <v>-</v>
      </c>
      <c r="C451" s="175" t="str">
        <f>IF(OR('Inventaire M'!D224="Dispo/Liquidité Investie",'Inventaire M'!D224="Option/Future",'Inventaire M'!D224="TCN",'Inventaire M'!D224=""),"-",'Inventaire M'!B224)</f>
        <v>-</v>
      </c>
      <c r="D451" s="175"/>
      <c r="E451" s="175" t="str">
        <f>IF(B451="-","",INDEX('Inventaire M'!$A$2:$AW$9305,MATCH(B451,'Inventaire M'!$A:$A,0)-1,MATCH("Cours EUR",'Inventaire M'!#REF!,0)))</f>
        <v/>
      </c>
      <c r="F451" s="175" t="str">
        <f>IF(B451="-","",IF(ISERROR(INDEX('Inventaire M-1'!$A$2:$AZ$9320,MATCH(B451,'Inventaire M-1'!$A:$A,0)-1,MATCH("Cours EUR",'Inventaire M-1'!#REF!,0))),"Buy",INDEX('Inventaire M-1'!$A$2:$AZ$9320,MATCH(B451,'Inventaire M-1'!$A:$A,0)-1,MATCH("Cours EUR",'Inventaire M-1'!#REF!,0))))</f>
        <v/>
      </c>
      <c r="G451" s="175"/>
      <c r="H451" s="156" t="str">
        <f>IF(B451="-","",INDEX('Inventaire M'!$A$2:$AW$9305,MATCH(B451,'Inventaire M'!$A:$A,0)-1,MATCH("quantite",'Inventaire M'!#REF!,0)))</f>
        <v/>
      </c>
      <c r="I451" s="156" t="str">
        <f>IF(C451="-","",IF(ISERROR(INDEX('Inventaire M-1'!$A$2:$AZ$9320,MATCH(B451,'Inventaire M-1'!$A:$A,0)-1,MATCH("quantite",'Inventaire M-1'!#REF!,0))),"Buy",INDEX('Inventaire M-1'!$A$2:$AZ$9320,MATCH(B451,'Inventaire M-1'!$A:$A,0)-1,MATCH("quantite",'Inventaire M-1'!#REF!,0))))</f>
        <v/>
      </c>
      <c r="J451" s="175"/>
      <c r="K451" s="155" t="str">
        <f>IF(B451="-","",INDEX('Inventaire M'!$A$2:$AW$9305,MATCH(B451,'Inventaire M'!$A:$A,0)-1,MATCH("poids",'Inventaire M'!#REF!,0)))</f>
        <v/>
      </c>
      <c r="L451" s="155" t="str">
        <f>IF(B451="-","",IF(ISERROR(INDEX('Inventaire M-1'!$A$2:$AZ$9320,MATCH(B451,'Inventaire M-1'!$A:$A,0)-1,MATCH("poids",'Inventaire M-1'!#REF!,0))),"Buy",INDEX('Inventaire M-1'!$A$2:$AZ$9320,MATCH(B451,'Inventaire M-1'!$A:$A,0)-1,MATCH("poids",'Inventaire M-1'!#REF!,0))))</f>
        <v/>
      </c>
      <c r="M451" s="175"/>
      <c r="N451" s="157" t="str">
        <f t="shared" ref="N451:N475" si="51">IFERROR(IF(I451="Buy",H451,H451-I451),"0")</f>
        <v>0</v>
      </c>
      <c r="O451" s="98" t="str">
        <f t="shared" ref="O451:O473" si="52">IFERROR(IF(N451&gt;0,IF(L451="Buy",K451,K451-L451)+Q451,""),"")</f>
        <v/>
      </c>
      <c r="P451" s="80" t="str">
        <f t="shared" ref="P451:P475" si="53">C451</f>
        <v>-</v>
      </c>
      <c r="Q451" s="75">
        <v>4.2699999999999999E-8</v>
      </c>
      <c r="R451" s="175" t="str">
        <f>IF(OR('Inventaire M-1'!D203="Dispo/Liquidité Investie",'Inventaire M-1'!D203="Option/Future",'Inventaire M-1'!D203="TCN",'Inventaire M-1'!D203=""),"-",'Inventaire M-1'!A203)</f>
        <v>-</v>
      </c>
      <c r="S451" s="175" t="str">
        <f>IF(OR('Inventaire M-1'!D203="Dispo/Liquidité Investie",'Inventaire M-1'!D203="Option/Future",'Inventaire M-1'!D203="TCN",'Inventaire M-1'!D203=""),"-",'Inventaire M-1'!B203)</f>
        <v>-</v>
      </c>
      <c r="T451" s="175"/>
      <c r="U451" s="175" t="str">
        <f>IF(R451="-","",INDEX('Inventaire M-1'!$A$2:$AG$9334,MATCH(R451,'Inventaire M-1'!$A:$A,0)-1,MATCH("Cours EUR",'Inventaire M-1'!#REF!,0)))</f>
        <v/>
      </c>
      <c r="V451" s="175" t="str">
        <f>IF(R451="-","",IF(ISERROR(INDEX('Inventaire M'!$A$2:$AD$9319,MATCH(R451,'Inventaire M'!$A:$A,0)-1,MATCH("Cours EUR",'Inventaire M'!#REF!,0))),"Sell",INDEX('Inventaire M'!$A$2:$AD$9319,MATCH(R451,'Inventaire M'!$A:$A,0)-1,MATCH("Cours EUR",'Inventaire M'!#REF!,0))))</f>
        <v/>
      </c>
      <c r="W451" s="175"/>
      <c r="X451" s="156" t="str">
        <f>IF(R451="-","",INDEX('Inventaire M-1'!$A$2:$AG$9334,MATCH(R451,'Inventaire M-1'!$A:$A,0)-1,MATCH("quantite",'Inventaire M-1'!#REF!,0)))</f>
        <v/>
      </c>
      <c r="Y451" s="156" t="str">
        <f>IF(S451="-","",IF(ISERROR(INDEX('Inventaire M'!$A$2:$AD$9319,MATCH(R451,'Inventaire M'!$A:$A,0)-1,MATCH("quantite",'Inventaire M'!#REF!,0))),"Sell",INDEX('Inventaire M'!$A$2:$AD$9319,MATCH(R451,'Inventaire M'!$A:$A,0)-1,MATCH("quantite",'Inventaire M'!#REF!,0))))</f>
        <v/>
      </c>
      <c r="Z451" s="175"/>
      <c r="AA451" s="155" t="str">
        <f>IF(R451="-","",INDEX('Inventaire M-1'!$A$2:$AG$9334,MATCH(R451,'Inventaire M-1'!$A:$A,0)-1,MATCH("poids",'Inventaire M-1'!#REF!,0)))</f>
        <v/>
      </c>
      <c r="AB451" s="155" t="str">
        <f>IF(R451="-","",IF(ISERROR(INDEX('Inventaire M'!$A$2:$AD$9319,MATCH(R451,'Inventaire M'!$A:$A,0)-1,MATCH("poids",'Inventaire M'!#REF!,0))),"Sell",INDEX('Inventaire M'!$A$2:$AD$9319,MATCH(R451,'Inventaire M'!$A:$A,0)-1,MATCH("poids",'Inventaire M'!#REF!,0))))</f>
        <v/>
      </c>
      <c r="AC451" s="175"/>
      <c r="AD451" s="157" t="str">
        <f t="shared" si="48"/>
        <v>0</v>
      </c>
      <c r="AE451" s="98" t="str">
        <f t="shared" si="49"/>
        <v/>
      </c>
      <c r="AF451" s="80" t="str">
        <f t="shared" si="50"/>
        <v>-</v>
      </c>
    </row>
    <row r="452" spans="2:32" outlineLevel="1">
      <c r="B452" s="175" t="str">
        <f>IF(OR('Inventaire M'!D225="Dispo/Liquidité Investie",'Inventaire M'!D225="Option/Future",'Inventaire M'!D225="TCN",'Inventaire M'!D225=""),"-",'Inventaire M'!A225)</f>
        <v>-</v>
      </c>
      <c r="C452" s="175" t="str">
        <f>IF(OR('Inventaire M'!D225="Dispo/Liquidité Investie",'Inventaire M'!D225="Option/Future",'Inventaire M'!D225="TCN",'Inventaire M'!D225=""),"-",'Inventaire M'!B225)</f>
        <v>-</v>
      </c>
      <c r="D452" s="175"/>
      <c r="E452" s="175" t="str">
        <f>IF(B452="-","",INDEX('Inventaire M'!$A$2:$AW$9305,MATCH(B452,'Inventaire M'!$A:$A,0)-1,MATCH("Cours EUR",'Inventaire M'!#REF!,0)))</f>
        <v/>
      </c>
      <c r="F452" s="175" t="str">
        <f>IF(B452="-","",IF(ISERROR(INDEX('Inventaire M-1'!$A$2:$AZ$9320,MATCH(B452,'Inventaire M-1'!$A:$A,0)-1,MATCH("Cours EUR",'Inventaire M-1'!#REF!,0))),"Buy",INDEX('Inventaire M-1'!$A$2:$AZ$9320,MATCH(B452,'Inventaire M-1'!$A:$A,0)-1,MATCH("Cours EUR",'Inventaire M-1'!#REF!,0))))</f>
        <v/>
      </c>
      <c r="G452" s="175"/>
      <c r="H452" s="156" t="str">
        <f>IF(B452="-","",INDEX('Inventaire M'!$A$2:$AW$9305,MATCH(B452,'Inventaire M'!$A:$A,0)-1,MATCH("quantite",'Inventaire M'!#REF!,0)))</f>
        <v/>
      </c>
      <c r="I452" s="156" t="str">
        <f>IF(C452="-","",IF(ISERROR(INDEX('Inventaire M-1'!$A$2:$AZ$9320,MATCH(B452,'Inventaire M-1'!$A:$A,0)-1,MATCH("quantite",'Inventaire M-1'!#REF!,0))),"Buy",INDEX('Inventaire M-1'!$A$2:$AZ$9320,MATCH(B452,'Inventaire M-1'!$A:$A,0)-1,MATCH("quantite",'Inventaire M-1'!#REF!,0))))</f>
        <v/>
      </c>
      <c r="J452" s="175"/>
      <c r="K452" s="155" t="str">
        <f>IF(B452="-","",INDEX('Inventaire M'!$A$2:$AW$9305,MATCH(B452,'Inventaire M'!$A:$A,0)-1,MATCH("poids",'Inventaire M'!#REF!,0)))</f>
        <v/>
      </c>
      <c r="L452" s="155" t="str">
        <f>IF(B452="-","",IF(ISERROR(INDEX('Inventaire M-1'!$A$2:$AZ$9320,MATCH(B452,'Inventaire M-1'!$A:$A,0)-1,MATCH("poids",'Inventaire M-1'!#REF!,0))),"Buy",INDEX('Inventaire M-1'!$A$2:$AZ$9320,MATCH(B452,'Inventaire M-1'!$A:$A,0)-1,MATCH("poids",'Inventaire M-1'!#REF!,0))))</f>
        <v/>
      </c>
      <c r="M452" s="175"/>
      <c r="N452" s="157" t="str">
        <f t="shared" si="51"/>
        <v>0</v>
      </c>
      <c r="O452" s="98" t="str">
        <f t="shared" si="52"/>
        <v/>
      </c>
      <c r="P452" s="80" t="str">
        <f t="shared" si="53"/>
        <v>-</v>
      </c>
      <c r="Q452" s="75">
        <v>4.2799999999999999E-8</v>
      </c>
      <c r="R452" s="175" t="str">
        <f>IF(OR('Inventaire M-1'!D204="Dispo/Liquidité Investie",'Inventaire M-1'!D204="Option/Future",'Inventaire M-1'!D204="TCN",'Inventaire M-1'!D204=""),"-",'Inventaire M-1'!A204)</f>
        <v>-</v>
      </c>
      <c r="S452" s="175" t="str">
        <f>IF(OR('Inventaire M-1'!D204="Dispo/Liquidité Investie",'Inventaire M-1'!D204="Option/Future",'Inventaire M-1'!D204="TCN",'Inventaire M-1'!D204=""),"-",'Inventaire M-1'!B204)</f>
        <v>-</v>
      </c>
      <c r="T452" s="175"/>
      <c r="U452" s="175" t="str">
        <f>IF(R452="-","",INDEX('Inventaire M-1'!$A$2:$AG$9334,MATCH(R452,'Inventaire M-1'!$A:$A,0)-1,MATCH("Cours EUR",'Inventaire M-1'!#REF!,0)))</f>
        <v/>
      </c>
      <c r="V452" s="175" t="str">
        <f>IF(R452="-","",IF(ISERROR(INDEX('Inventaire M'!$A$2:$AD$9319,MATCH(R452,'Inventaire M'!$A:$A,0)-1,MATCH("Cours EUR",'Inventaire M'!#REF!,0))),"Sell",INDEX('Inventaire M'!$A$2:$AD$9319,MATCH(R452,'Inventaire M'!$A:$A,0)-1,MATCH("Cours EUR",'Inventaire M'!#REF!,0))))</f>
        <v/>
      </c>
      <c r="W452" s="175"/>
      <c r="X452" s="156" t="str">
        <f>IF(R452="-","",INDEX('Inventaire M-1'!$A$2:$AG$9334,MATCH(R452,'Inventaire M-1'!$A:$A,0)-1,MATCH("quantite",'Inventaire M-1'!#REF!,0)))</f>
        <v/>
      </c>
      <c r="Y452" s="156" t="str">
        <f>IF(S452="-","",IF(ISERROR(INDEX('Inventaire M'!$A$2:$AD$9319,MATCH(R452,'Inventaire M'!$A:$A,0)-1,MATCH("quantite",'Inventaire M'!#REF!,0))),"Sell",INDEX('Inventaire M'!$A$2:$AD$9319,MATCH(R452,'Inventaire M'!$A:$A,0)-1,MATCH("quantite",'Inventaire M'!#REF!,0))))</f>
        <v/>
      </c>
      <c r="Z452" s="175"/>
      <c r="AA452" s="155" t="str">
        <f>IF(R452="-","",INDEX('Inventaire M-1'!$A$2:$AG$9334,MATCH(R452,'Inventaire M-1'!$A:$A,0)-1,MATCH("poids",'Inventaire M-1'!#REF!,0)))</f>
        <v/>
      </c>
      <c r="AB452" s="155" t="str">
        <f>IF(R452="-","",IF(ISERROR(INDEX('Inventaire M'!$A$2:$AD$9319,MATCH(R452,'Inventaire M'!$A:$A,0)-1,MATCH("poids",'Inventaire M'!#REF!,0))),"Sell",INDEX('Inventaire M'!$A$2:$AD$9319,MATCH(R452,'Inventaire M'!$A:$A,0)-1,MATCH("poids",'Inventaire M'!#REF!,0))))</f>
        <v/>
      </c>
      <c r="AC452" s="175"/>
      <c r="AD452" s="157" t="str">
        <f t="shared" si="48"/>
        <v>0</v>
      </c>
      <c r="AE452" s="98" t="str">
        <f t="shared" si="49"/>
        <v/>
      </c>
      <c r="AF452" s="80" t="str">
        <f t="shared" si="50"/>
        <v>-</v>
      </c>
    </row>
    <row r="453" spans="2:32" outlineLevel="1">
      <c r="B453" s="175" t="str">
        <f>IF(OR('Inventaire M'!D226="Dispo/Liquidité Investie",'Inventaire M'!D226="Option/Future",'Inventaire M'!D226="TCN",'Inventaire M'!D226=""),"-",'Inventaire M'!A226)</f>
        <v>-</v>
      </c>
      <c r="C453" s="175" t="str">
        <f>IF(OR('Inventaire M'!D226="Dispo/Liquidité Investie",'Inventaire M'!D226="Option/Future",'Inventaire M'!D226="TCN",'Inventaire M'!D226=""),"-",'Inventaire M'!B226)</f>
        <v>-</v>
      </c>
      <c r="D453" s="175"/>
      <c r="E453" s="175" t="str">
        <f>IF(B453="-","",INDEX('Inventaire M'!$A$2:$AW$9305,MATCH(B453,'Inventaire M'!$A:$A,0)-1,MATCH("Cours EUR",'Inventaire M'!#REF!,0)))</f>
        <v/>
      </c>
      <c r="F453" s="175" t="str">
        <f>IF(B453="-","",IF(ISERROR(INDEX('Inventaire M-1'!$A$2:$AZ$9320,MATCH(B453,'Inventaire M-1'!$A:$A,0)-1,MATCH("Cours EUR",'Inventaire M-1'!#REF!,0))),"Buy",INDEX('Inventaire M-1'!$A$2:$AZ$9320,MATCH(B453,'Inventaire M-1'!$A:$A,0)-1,MATCH("Cours EUR",'Inventaire M-1'!#REF!,0))))</f>
        <v/>
      </c>
      <c r="G453" s="175"/>
      <c r="H453" s="156" t="str">
        <f>IF(B453="-","",INDEX('Inventaire M'!$A$2:$AW$9305,MATCH(B453,'Inventaire M'!$A:$A,0)-1,MATCH("quantite",'Inventaire M'!#REF!,0)))</f>
        <v/>
      </c>
      <c r="I453" s="156" t="str">
        <f>IF(C453="-","",IF(ISERROR(INDEX('Inventaire M-1'!$A$2:$AZ$9320,MATCH(B453,'Inventaire M-1'!$A:$A,0)-1,MATCH("quantite",'Inventaire M-1'!#REF!,0))),"Buy",INDEX('Inventaire M-1'!$A$2:$AZ$9320,MATCH(B453,'Inventaire M-1'!$A:$A,0)-1,MATCH("quantite",'Inventaire M-1'!#REF!,0))))</f>
        <v/>
      </c>
      <c r="J453" s="175"/>
      <c r="K453" s="155" t="str">
        <f>IF(B453="-","",INDEX('Inventaire M'!$A$2:$AW$9305,MATCH(B453,'Inventaire M'!$A:$A,0)-1,MATCH("poids",'Inventaire M'!#REF!,0)))</f>
        <v/>
      </c>
      <c r="L453" s="155" t="str">
        <f>IF(B453="-","",IF(ISERROR(INDEX('Inventaire M-1'!$A$2:$AZ$9320,MATCH(B453,'Inventaire M-1'!$A:$A,0)-1,MATCH("poids",'Inventaire M-1'!#REF!,0))),"Buy",INDEX('Inventaire M-1'!$A$2:$AZ$9320,MATCH(B453,'Inventaire M-1'!$A:$A,0)-1,MATCH("poids",'Inventaire M-1'!#REF!,0))))</f>
        <v/>
      </c>
      <c r="M453" s="175"/>
      <c r="N453" s="157" t="str">
        <f t="shared" si="51"/>
        <v>0</v>
      </c>
      <c r="O453" s="98" t="str">
        <f t="shared" si="52"/>
        <v/>
      </c>
      <c r="P453" s="80" t="str">
        <f t="shared" si="53"/>
        <v>-</v>
      </c>
      <c r="Q453" s="75">
        <v>4.29E-8</v>
      </c>
      <c r="R453" s="175" t="str">
        <f>IF(OR('Inventaire M-1'!D205="Dispo/Liquidité Investie",'Inventaire M-1'!D205="Option/Future",'Inventaire M-1'!D205="TCN",'Inventaire M-1'!D205=""),"-",'Inventaire M-1'!A205)</f>
        <v>-</v>
      </c>
      <c r="S453" s="175" t="str">
        <f>IF(OR('Inventaire M-1'!D205="Dispo/Liquidité Investie",'Inventaire M-1'!D205="Option/Future",'Inventaire M-1'!D205="TCN",'Inventaire M-1'!D205=""),"-",'Inventaire M-1'!B205)</f>
        <v>-</v>
      </c>
      <c r="T453" s="175"/>
      <c r="U453" s="175" t="str">
        <f>IF(R453="-","",INDEX('Inventaire M-1'!$A$2:$AG$9334,MATCH(R453,'Inventaire M-1'!$A:$A,0)-1,MATCH("Cours EUR",'Inventaire M-1'!#REF!,0)))</f>
        <v/>
      </c>
      <c r="V453" s="175" t="str">
        <f>IF(R453="-","",IF(ISERROR(INDEX('Inventaire M'!$A$2:$AD$9319,MATCH(R453,'Inventaire M'!$A:$A,0)-1,MATCH("Cours EUR",'Inventaire M'!#REF!,0))),"Sell",INDEX('Inventaire M'!$A$2:$AD$9319,MATCH(R453,'Inventaire M'!$A:$A,0)-1,MATCH("Cours EUR",'Inventaire M'!#REF!,0))))</f>
        <v/>
      </c>
      <c r="W453" s="175"/>
      <c r="X453" s="156" t="str">
        <f>IF(R453="-","",INDEX('Inventaire M-1'!$A$2:$AG$9334,MATCH(R453,'Inventaire M-1'!$A:$A,0)-1,MATCH("quantite",'Inventaire M-1'!#REF!,0)))</f>
        <v/>
      </c>
      <c r="Y453" s="156" t="str">
        <f>IF(S453="-","",IF(ISERROR(INDEX('Inventaire M'!$A$2:$AD$9319,MATCH(R453,'Inventaire M'!$A:$A,0)-1,MATCH("quantite",'Inventaire M'!#REF!,0))),"Sell",INDEX('Inventaire M'!$A$2:$AD$9319,MATCH(R453,'Inventaire M'!$A:$A,0)-1,MATCH("quantite",'Inventaire M'!#REF!,0))))</f>
        <v/>
      </c>
      <c r="Z453" s="175"/>
      <c r="AA453" s="155" t="str">
        <f>IF(R453="-","",INDEX('Inventaire M-1'!$A$2:$AG$9334,MATCH(R453,'Inventaire M-1'!$A:$A,0)-1,MATCH("poids",'Inventaire M-1'!#REF!,0)))</f>
        <v/>
      </c>
      <c r="AB453" s="155" t="str">
        <f>IF(R453="-","",IF(ISERROR(INDEX('Inventaire M'!$A$2:$AD$9319,MATCH(R453,'Inventaire M'!$A:$A,0)-1,MATCH("poids",'Inventaire M'!#REF!,0))),"Sell",INDEX('Inventaire M'!$A$2:$AD$9319,MATCH(R453,'Inventaire M'!$A:$A,0)-1,MATCH("poids",'Inventaire M'!#REF!,0))))</f>
        <v/>
      </c>
      <c r="AC453" s="175"/>
      <c r="AD453" s="157" t="str">
        <f t="shared" si="48"/>
        <v>0</v>
      </c>
      <c r="AE453" s="98" t="str">
        <f t="shared" si="49"/>
        <v/>
      </c>
      <c r="AF453" s="80" t="str">
        <f t="shared" si="50"/>
        <v>-</v>
      </c>
    </row>
    <row r="454" spans="2:32" outlineLevel="1">
      <c r="B454" s="175" t="str">
        <f>IF(OR('Inventaire M'!D227="Dispo/Liquidité Investie",'Inventaire M'!D227="Option/Future",'Inventaire M'!D227="TCN",'Inventaire M'!D227=""),"-",'Inventaire M'!A227)</f>
        <v>-</v>
      </c>
      <c r="C454" s="175" t="str">
        <f>IF(OR('Inventaire M'!D227="Dispo/Liquidité Investie",'Inventaire M'!D227="Option/Future",'Inventaire M'!D227="TCN",'Inventaire M'!D227=""),"-",'Inventaire M'!B227)</f>
        <v>-</v>
      </c>
      <c r="D454" s="175"/>
      <c r="E454" s="175" t="str">
        <f>IF(B454="-","",INDEX('Inventaire M'!$A$2:$AW$9305,MATCH(B454,'Inventaire M'!$A:$A,0)-1,MATCH("Cours EUR",'Inventaire M'!#REF!,0)))</f>
        <v/>
      </c>
      <c r="F454" s="175" t="str">
        <f>IF(B454="-","",IF(ISERROR(INDEX('Inventaire M-1'!$A$2:$AZ$9320,MATCH(B454,'Inventaire M-1'!$A:$A,0)-1,MATCH("Cours EUR",'Inventaire M-1'!#REF!,0))),"Buy",INDEX('Inventaire M-1'!$A$2:$AZ$9320,MATCH(B454,'Inventaire M-1'!$A:$A,0)-1,MATCH("Cours EUR",'Inventaire M-1'!#REF!,0))))</f>
        <v/>
      </c>
      <c r="G454" s="175"/>
      <c r="H454" s="156" t="str">
        <f>IF(B454="-","",INDEX('Inventaire M'!$A$2:$AW$9305,MATCH(B454,'Inventaire M'!$A:$A,0)-1,MATCH("quantite",'Inventaire M'!#REF!,0)))</f>
        <v/>
      </c>
      <c r="I454" s="156" t="str">
        <f>IF(C454="-","",IF(ISERROR(INDEX('Inventaire M-1'!$A$2:$AZ$9320,MATCH(B454,'Inventaire M-1'!$A:$A,0)-1,MATCH("quantite",'Inventaire M-1'!#REF!,0))),"Buy",INDEX('Inventaire M-1'!$A$2:$AZ$9320,MATCH(B454,'Inventaire M-1'!$A:$A,0)-1,MATCH("quantite",'Inventaire M-1'!#REF!,0))))</f>
        <v/>
      </c>
      <c r="J454" s="175"/>
      <c r="K454" s="155" t="str">
        <f>IF(B454="-","",INDEX('Inventaire M'!$A$2:$AW$9305,MATCH(B454,'Inventaire M'!$A:$A,0)-1,MATCH("poids",'Inventaire M'!#REF!,0)))</f>
        <v/>
      </c>
      <c r="L454" s="155" t="str">
        <f>IF(B454="-","",IF(ISERROR(INDEX('Inventaire M-1'!$A$2:$AZ$9320,MATCH(B454,'Inventaire M-1'!$A:$A,0)-1,MATCH("poids",'Inventaire M-1'!#REF!,0))),"Buy",INDEX('Inventaire M-1'!$A$2:$AZ$9320,MATCH(B454,'Inventaire M-1'!$A:$A,0)-1,MATCH("poids",'Inventaire M-1'!#REF!,0))))</f>
        <v/>
      </c>
      <c r="M454" s="175"/>
      <c r="N454" s="157" t="str">
        <f t="shared" si="51"/>
        <v>0</v>
      </c>
      <c r="O454" s="98" t="str">
        <f t="shared" si="52"/>
        <v/>
      </c>
      <c r="P454" s="80" t="str">
        <f t="shared" si="53"/>
        <v>-</v>
      </c>
      <c r="Q454" s="75">
        <v>4.3000000000000001E-8</v>
      </c>
      <c r="R454" s="175" t="str">
        <f>IF(OR('Inventaire M-1'!D206="Dispo/Liquidité Investie",'Inventaire M-1'!D206="Option/Future",'Inventaire M-1'!D206="TCN",'Inventaire M-1'!D206=""),"-",'Inventaire M-1'!A206)</f>
        <v>-</v>
      </c>
      <c r="S454" s="175" t="str">
        <f>IF(OR('Inventaire M-1'!D206="Dispo/Liquidité Investie",'Inventaire M-1'!D206="Option/Future",'Inventaire M-1'!D206="TCN",'Inventaire M-1'!D206=""),"-",'Inventaire M-1'!B206)</f>
        <v>-</v>
      </c>
      <c r="T454" s="175"/>
      <c r="U454" s="175" t="str">
        <f>IF(R454="-","",INDEX('Inventaire M-1'!$A$2:$AG$9334,MATCH(R454,'Inventaire M-1'!$A:$A,0)-1,MATCH("Cours EUR",'Inventaire M-1'!#REF!,0)))</f>
        <v/>
      </c>
      <c r="V454" s="175" t="str">
        <f>IF(R454="-","",IF(ISERROR(INDEX('Inventaire M'!$A$2:$AD$9319,MATCH(R454,'Inventaire M'!$A:$A,0)-1,MATCH("Cours EUR",'Inventaire M'!#REF!,0))),"Sell",INDEX('Inventaire M'!$A$2:$AD$9319,MATCH(R454,'Inventaire M'!$A:$A,0)-1,MATCH("Cours EUR",'Inventaire M'!#REF!,0))))</f>
        <v/>
      </c>
      <c r="W454" s="175"/>
      <c r="X454" s="156" t="str">
        <f>IF(R454="-","",INDEX('Inventaire M-1'!$A$2:$AG$9334,MATCH(R454,'Inventaire M-1'!$A:$A,0)-1,MATCH("quantite",'Inventaire M-1'!#REF!,0)))</f>
        <v/>
      </c>
      <c r="Y454" s="156" t="str">
        <f>IF(S454="-","",IF(ISERROR(INDEX('Inventaire M'!$A$2:$AD$9319,MATCH(R454,'Inventaire M'!$A:$A,0)-1,MATCH("quantite",'Inventaire M'!#REF!,0))),"Sell",INDEX('Inventaire M'!$A$2:$AD$9319,MATCH(R454,'Inventaire M'!$A:$A,0)-1,MATCH("quantite",'Inventaire M'!#REF!,0))))</f>
        <v/>
      </c>
      <c r="Z454" s="175"/>
      <c r="AA454" s="155" t="str">
        <f>IF(R454="-","",INDEX('Inventaire M-1'!$A$2:$AG$9334,MATCH(R454,'Inventaire M-1'!$A:$A,0)-1,MATCH("poids",'Inventaire M-1'!#REF!,0)))</f>
        <v/>
      </c>
      <c r="AB454" s="155" t="str">
        <f>IF(R454="-","",IF(ISERROR(INDEX('Inventaire M'!$A$2:$AD$9319,MATCH(R454,'Inventaire M'!$A:$A,0)-1,MATCH("poids",'Inventaire M'!#REF!,0))),"Sell",INDEX('Inventaire M'!$A$2:$AD$9319,MATCH(R454,'Inventaire M'!$A:$A,0)-1,MATCH("poids",'Inventaire M'!#REF!,0))))</f>
        <v/>
      </c>
      <c r="AC454" s="175"/>
      <c r="AD454" s="157" t="str">
        <f t="shared" si="48"/>
        <v>0</v>
      </c>
      <c r="AE454" s="98" t="str">
        <f t="shared" si="49"/>
        <v/>
      </c>
      <c r="AF454" s="80" t="str">
        <f t="shared" si="50"/>
        <v>-</v>
      </c>
    </row>
    <row r="455" spans="2:32" outlineLevel="1">
      <c r="B455" s="175" t="str">
        <f>IF(OR('Inventaire M'!D228="Dispo/Liquidité Investie",'Inventaire M'!D228="Option/Future",'Inventaire M'!D228="TCN",'Inventaire M'!D228=""),"-",'Inventaire M'!A228)</f>
        <v>-</v>
      </c>
      <c r="C455" s="175" t="str">
        <f>IF(OR('Inventaire M'!D228="Dispo/Liquidité Investie",'Inventaire M'!D228="Option/Future",'Inventaire M'!D228="TCN",'Inventaire M'!D228=""),"-",'Inventaire M'!B228)</f>
        <v>-</v>
      </c>
      <c r="D455" s="175"/>
      <c r="E455" s="175" t="str">
        <f>IF(B455="-","",INDEX('Inventaire M'!$A$2:$AW$9305,MATCH(B455,'Inventaire M'!$A:$A,0)-1,MATCH("Cours EUR",'Inventaire M'!#REF!,0)))</f>
        <v/>
      </c>
      <c r="F455" s="175" t="str">
        <f>IF(B455="-","",IF(ISERROR(INDEX('Inventaire M-1'!$A$2:$AZ$9320,MATCH(B455,'Inventaire M-1'!$A:$A,0)-1,MATCH("Cours EUR",'Inventaire M-1'!#REF!,0))),"Buy",INDEX('Inventaire M-1'!$A$2:$AZ$9320,MATCH(B455,'Inventaire M-1'!$A:$A,0)-1,MATCH("Cours EUR",'Inventaire M-1'!#REF!,0))))</f>
        <v/>
      </c>
      <c r="G455" s="175"/>
      <c r="H455" s="156" t="str">
        <f>IF(B455="-","",INDEX('Inventaire M'!$A$2:$AW$9305,MATCH(B455,'Inventaire M'!$A:$A,0)-1,MATCH("quantite",'Inventaire M'!#REF!,0)))</f>
        <v/>
      </c>
      <c r="I455" s="156" t="str">
        <f>IF(C455="-","",IF(ISERROR(INDEX('Inventaire M-1'!$A$2:$AZ$9320,MATCH(B455,'Inventaire M-1'!$A:$A,0)-1,MATCH("quantite",'Inventaire M-1'!#REF!,0))),"Buy",INDEX('Inventaire M-1'!$A$2:$AZ$9320,MATCH(B455,'Inventaire M-1'!$A:$A,0)-1,MATCH("quantite",'Inventaire M-1'!#REF!,0))))</f>
        <v/>
      </c>
      <c r="J455" s="175"/>
      <c r="K455" s="155" t="str">
        <f>IF(B455="-","",INDEX('Inventaire M'!$A$2:$AW$9305,MATCH(B455,'Inventaire M'!$A:$A,0)-1,MATCH("poids",'Inventaire M'!#REF!,0)))</f>
        <v/>
      </c>
      <c r="L455" s="155" t="str">
        <f>IF(B455="-","",IF(ISERROR(INDEX('Inventaire M-1'!$A$2:$AZ$9320,MATCH(B455,'Inventaire M-1'!$A:$A,0)-1,MATCH("poids",'Inventaire M-1'!#REF!,0))),"Buy",INDEX('Inventaire M-1'!$A$2:$AZ$9320,MATCH(B455,'Inventaire M-1'!$A:$A,0)-1,MATCH("poids",'Inventaire M-1'!#REF!,0))))</f>
        <v/>
      </c>
      <c r="M455" s="175"/>
      <c r="N455" s="157" t="str">
        <f t="shared" si="51"/>
        <v>0</v>
      </c>
      <c r="O455" s="98" t="str">
        <f t="shared" si="52"/>
        <v/>
      </c>
      <c r="P455" s="80" t="str">
        <f t="shared" si="53"/>
        <v>-</v>
      </c>
      <c r="Q455" s="75">
        <v>4.3100000000000002E-8</v>
      </c>
      <c r="R455" s="175" t="str">
        <f>IF(OR('Inventaire M-1'!D207="Dispo/Liquidité Investie",'Inventaire M-1'!D207="Option/Future",'Inventaire M-1'!D207="TCN",'Inventaire M-1'!D207=""),"-",'Inventaire M-1'!A207)</f>
        <v>-</v>
      </c>
      <c r="S455" s="175" t="str">
        <f>IF(OR('Inventaire M-1'!D207="Dispo/Liquidité Investie",'Inventaire M-1'!D207="Option/Future",'Inventaire M-1'!D207="TCN",'Inventaire M-1'!D207=""),"-",'Inventaire M-1'!B207)</f>
        <v>-</v>
      </c>
      <c r="T455" s="175"/>
      <c r="U455" s="175" t="str">
        <f>IF(R455="-","",INDEX('Inventaire M-1'!$A$2:$AG$9334,MATCH(R455,'Inventaire M-1'!$A:$A,0)-1,MATCH("Cours EUR",'Inventaire M-1'!#REF!,0)))</f>
        <v/>
      </c>
      <c r="V455" s="175" t="str">
        <f>IF(R455="-","",IF(ISERROR(INDEX('Inventaire M'!$A$2:$AD$9319,MATCH(R455,'Inventaire M'!$A:$A,0)-1,MATCH("Cours EUR",'Inventaire M'!#REF!,0))),"Sell",INDEX('Inventaire M'!$A$2:$AD$9319,MATCH(R455,'Inventaire M'!$A:$A,0)-1,MATCH("Cours EUR",'Inventaire M'!#REF!,0))))</f>
        <v/>
      </c>
      <c r="W455" s="175"/>
      <c r="X455" s="156" t="str">
        <f>IF(R455="-","",INDEX('Inventaire M-1'!$A$2:$AG$9334,MATCH(R455,'Inventaire M-1'!$A:$A,0)-1,MATCH("quantite",'Inventaire M-1'!#REF!,0)))</f>
        <v/>
      </c>
      <c r="Y455" s="156" t="str">
        <f>IF(S455="-","",IF(ISERROR(INDEX('Inventaire M'!$A$2:$AD$9319,MATCH(R455,'Inventaire M'!$A:$A,0)-1,MATCH("quantite",'Inventaire M'!#REF!,0))),"Sell",INDEX('Inventaire M'!$A$2:$AD$9319,MATCH(R455,'Inventaire M'!$A:$A,0)-1,MATCH("quantite",'Inventaire M'!#REF!,0))))</f>
        <v/>
      </c>
      <c r="Z455" s="175"/>
      <c r="AA455" s="155" t="str">
        <f>IF(R455="-","",INDEX('Inventaire M-1'!$A$2:$AG$9334,MATCH(R455,'Inventaire M-1'!$A:$A,0)-1,MATCH("poids",'Inventaire M-1'!#REF!,0)))</f>
        <v/>
      </c>
      <c r="AB455" s="155" t="str">
        <f>IF(R455="-","",IF(ISERROR(INDEX('Inventaire M'!$A$2:$AD$9319,MATCH(R455,'Inventaire M'!$A:$A,0)-1,MATCH("poids",'Inventaire M'!#REF!,0))),"Sell",INDEX('Inventaire M'!$A$2:$AD$9319,MATCH(R455,'Inventaire M'!$A:$A,0)-1,MATCH("poids",'Inventaire M'!#REF!,0))))</f>
        <v/>
      </c>
      <c r="AC455" s="175"/>
      <c r="AD455" s="157" t="str">
        <f t="shared" si="48"/>
        <v>0</v>
      </c>
      <c r="AE455" s="98" t="str">
        <f t="shared" si="49"/>
        <v/>
      </c>
      <c r="AF455" s="80" t="str">
        <f t="shared" si="50"/>
        <v>-</v>
      </c>
    </row>
    <row r="456" spans="2:32" outlineLevel="1">
      <c r="B456" s="175" t="str">
        <f>IF(OR('Inventaire M'!D229="Dispo/Liquidité Investie",'Inventaire M'!D229="Option/Future",'Inventaire M'!D229="TCN",'Inventaire M'!D229=""),"-",'Inventaire M'!A229)</f>
        <v>-</v>
      </c>
      <c r="C456" s="175" t="str">
        <f>IF(OR('Inventaire M'!D229="Dispo/Liquidité Investie",'Inventaire M'!D229="Option/Future",'Inventaire M'!D229="TCN",'Inventaire M'!D229=""),"-",'Inventaire M'!B229)</f>
        <v>-</v>
      </c>
      <c r="D456" s="175"/>
      <c r="E456" s="175" t="str">
        <f>IF(B456="-","",INDEX('Inventaire M'!$A$2:$AW$9305,MATCH(B456,'Inventaire M'!$A:$A,0)-1,MATCH("Cours EUR",'Inventaire M'!#REF!,0)))</f>
        <v/>
      </c>
      <c r="F456" s="175" t="str">
        <f>IF(B456="-","",IF(ISERROR(INDEX('Inventaire M-1'!$A$2:$AZ$9320,MATCH(B456,'Inventaire M-1'!$A:$A,0)-1,MATCH("Cours EUR",'Inventaire M-1'!#REF!,0))),"Buy",INDEX('Inventaire M-1'!$A$2:$AZ$9320,MATCH(B456,'Inventaire M-1'!$A:$A,0)-1,MATCH("Cours EUR",'Inventaire M-1'!#REF!,0))))</f>
        <v/>
      </c>
      <c r="G456" s="175"/>
      <c r="H456" s="156" t="str">
        <f>IF(B456="-","",INDEX('Inventaire M'!$A$2:$AW$9305,MATCH(B456,'Inventaire M'!$A:$A,0)-1,MATCH("quantite",'Inventaire M'!#REF!,0)))</f>
        <v/>
      </c>
      <c r="I456" s="156" t="str">
        <f>IF(C456="-","",IF(ISERROR(INDEX('Inventaire M-1'!$A$2:$AZ$9320,MATCH(B456,'Inventaire M-1'!$A:$A,0)-1,MATCH("quantite",'Inventaire M-1'!#REF!,0))),"Buy",INDEX('Inventaire M-1'!$A$2:$AZ$9320,MATCH(B456,'Inventaire M-1'!$A:$A,0)-1,MATCH("quantite",'Inventaire M-1'!#REF!,0))))</f>
        <v/>
      </c>
      <c r="J456" s="175"/>
      <c r="K456" s="155" t="str">
        <f>IF(B456="-","",INDEX('Inventaire M'!$A$2:$AW$9305,MATCH(B456,'Inventaire M'!$A:$A,0)-1,MATCH("poids",'Inventaire M'!#REF!,0)))</f>
        <v/>
      </c>
      <c r="L456" s="155" t="str">
        <f>IF(B456="-","",IF(ISERROR(INDEX('Inventaire M-1'!$A$2:$AZ$9320,MATCH(B456,'Inventaire M-1'!$A:$A,0)-1,MATCH("poids",'Inventaire M-1'!#REF!,0))),"Buy",INDEX('Inventaire M-1'!$A$2:$AZ$9320,MATCH(B456,'Inventaire M-1'!$A:$A,0)-1,MATCH("poids",'Inventaire M-1'!#REF!,0))))</f>
        <v/>
      </c>
      <c r="M456" s="175"/>
      <c r="N456" s="157" t="str">
        <f t="shared" si="51"/>
        <v>0</v>
      </c>
      <c r="O456" s="98" t="str">
        <f t="shared" si="52"/>
        <v/>
      </c>
      <c r="P456" s="80" t="str">
        <f t="shared" si="53"/>
        <v>-</v>
      </c>
      <c r="Q456" s="75">
        <v>4.3200000000000003E-8</v>
      </c>
      <c r="R456" s="175" t="str">
        <f>IF(OR('Inventaire M-1'!D208="Dispo/Liquidité Investie",'Inventaire M-1'!D208="Option/Future",'Inventaire M-1'!D208="TCN",'Inventaire M-1'!D208=""),"-",'Inventaire M-1'!A208)</f>
        <v>-</v>
      </c>
      <c r="S456" s="175" t="str">
        <f>IF(OR('Inventaire M-1'!D208="Dispo/Liquidité Investie",'Inventaire M-1'!D208="Option/Future",'Inventaire M-1'!D208="TCN",'Inventaire M-1'!D208=""),"-",'Inventaire M-1'!B208)</f>
        <v>-</v>
      </c>
      <c r="T456" s="175"/>
      <c r="U456" s="175" t="str">
        <f>IF(R456="-","",INDEX('Inventaire M-1'!$A$2:$AG$9334,MATCH(R456,'Inventaire M-1'!$A:$A,0)-1,MATCH("Cours EUR",'Inventaire M-1'!#REF!,0)))</f>
        <v/>
      </c>
      <c r="V456" s="175" t="str">
        <f>IF(R456="-","",IF(ISERROR(INDEX('Inventaire M'!$A$2:$AD$9319,MATCH(R456,'Inventaire M'!$A:$A,0)-1,MATCH("Cours EUR",'Inventaire M'!#REF!,0))),"Sell",INDEX('Inventaire M'!$A$2:$AD$9319,MATCH(R456,'Inventaire M'!$A:$A,0)-1,MATCH("Cours EUR",'Inventaire M'!#REF!,0))))</f>
        <v/>
      </c>
      <c r="W456" s="175"/>
      <c r="X456" s="156" t="str">
        <f>IF(R456="-","",INDEX('Inventaire M-1'!$A$2:$AG$9334,MATCH(R456,'Inventaire M-1'!$A:$A,0)-1,MATCH("quantite",'Inventaire M-1'!#REF!,0)))</f>
        <v/>
      </c>
      <c r="Y456" s="156" t="str">
        <f>IF(S456="-","",IF(ISERROR(INDEX('Inventaire M'!$A$2:$AD$9319,MATCH(R456,'Inventaire M'!$A:$A,0)-1,MATCH("quantite",'Inventaire M'!#REF!,0))),"Sell",INDEX('Inventaire M'!$A$2:$AD$9319,MATCH(R456,'Inventaire M'!$A:$A,0)-1,MATCH("quantite",'Inventaire M'!#REF!,0))))</f>
        <v/>
      </c>
      <c r="Z456" s="175"/>
      <c r="AA456" s="155" t="str">
        <f>IF(R456="-","",INDEX('Inventaire M-1'!$A$2:$AG$9334,MATCH(R456,'Inventaire M-1'!$A:$A,0)-1,MATCH("poids",'Inventaire M-1'!#REF!,0)))</f>
        <v/>
      </c>
      <c r="AB456" s="155" t="str">
        <f>IF(R456="-","",IF(ISERROR(INDEX('Inventaire M'!$A$2:$AD$9319,MATCH(R456,'Inventaire M'!$A:$A,0)-1,MATCH("poids",'Inventaire M'!#REF!,0))),"Sell",INDEX('Inventaire M'!$A$2:$AD$9319,MATCH(R456,'Inventaire M'!$A:$A,0)-1,MATCH("poids",'Inventaire M'!#REF!,0))))</f>
        <v/>
      </c>
      <c r="AC456" s="175"/>
      <c r="AD456" s="157" t="str">
        <f t="shared" si="48"/>
        <v>0</v>
      </c>
      <c r="AE456" s="98" t="str">
        <f t="shared" si="49"/>
        <v/>
      </c>
      <c r="AF456" s="80" t="str">
        <f t="shared" si="50"/>
        <v>-</v>
      </c>
    </row>
    <row r="457" spans="2:32" outlineLevel="1">
      <c r="B457" s="175" t="str">
        <f>IF(OR('Inventaire M'!D230="Dispo/Liquidité Investie",'Inventaire M'!D230="Option/Future",'Inventaire M'!D230="TCN",'Inventaire M'!D230=""),"-",'Inventaire M'!A230)</f>
        <v>-</v>
      </c>
      <c r="C457" s="175" t="str">
        <f>IF(OR('Inventaire M'!D230="Dispo/Liquidité Investie",'Inventaire M'!D230="Option/Future",'Inventaire M'!D230="TCN",'Inventaire M'!D230=""),"-",'Inventaire M'!B230)</f>
        <v>-</v>
      </c>
      <c r="D457" s="175"/>
      <c r="E457" s="175" t="str">
        <f>IF(B457="-","",INDEX('Inventaire M'!$A$2:$AW$9305,MATCH(B457,'Inventaire M'!$A:$A,0)-1,MATCH("Cours EUR",'Inventaire M'!#REF!,0)))</f>
        <v/>
      </c>
      <c r="F457" s="175" t="str">
        <f>IF(B457="-","",IF(ISERROR(INDEX('Inventaire M-1'!$A$2:$AZ$9320,MATCH(B457,'Inventaire M-1'!$A:$A,0)-1,MATCH("Cours EUR",'Inventaire M-1'!#REF!,0))),"Buy",INDEX('Inventaire M-1'!$A$2:$AZ$9320,MATCH(B457,'Inventaire M-1'!$A:$A,0)-1,MATCH("Cours EUR",'Inventaire M-1'!#REF!,0))))</f>
        <v/>
      </c>
      <c r="G457" s="175"/>
      <c r="H457" s="156" t="str">
        <f>IF(B457="-","",INDEX('Inventaire M'!$A$2:$AW$9305,MATCH(B457,'Inventaire M'!$A:$A,0)-1,MATCH("quantite",'Inventaire M'!#REF!,0)))</f>
        <v/>
      </c>
      <c r="I457" s="156" t="str">
        <f>IF(C457="-","",IF(ISERROR(INDEX('Inventaire M-1'!$A$2:$AZ$9320,MATCH(B457,'Inventaire M-1'!$A:$A,0)-1,MATCH("quantite",'Inventaire M-1'!#REF!,0))),"Buy",INDEX('Inventaire M-1'!$A$2:$AZ$9320,MATCH(B457,'Inventaire M-1'!$A:$A,0)-1,MATCH("quantite",'Inventaire M-1'!#REF!,0))))</f>
        <v/>
      </c>
      <c r="J457" s="175"/>
      <c r="K457" s="155" t="str">
        <f>IF(B457="-","",INDEX('Inventaire M'!$A$2:$AW$9305,MATCH(B457,'Inventaire M'!$A:$A,0)-1,MATCH("poids",'Inventaire M'!#REF!,0)))</f>
        <v/>
      </c>
      <c r="L457" s="155" t="str">
        <f>IF(B457="-","",IF(ISERROR(INDEX('Inventaire M-1'!$A$2:$AZ$9320,MATCH(B457,'Inventaire M-1'!$A:$A,0)-1,MATCH("poids",'Inventaire M-1'!#REF!,0))),"Buy",INDEX('Inventaire M-1'!$A$2:$AZ$9320,MATCH(B457,'Inventaire M-1'!$A:$A,0)-1,MATCH("poids",'Inventaire M-1'!#REF!,0))))</f>
        <v/>
      </c>
      <c r="M457" s="175"/>
      <c r="N457" s="157" t="str">
        <f t="shared" si="51"/>
        <v>0</v>
      </c>
      <c r="O457" s="98" t="str">
        <f t="shared" si="52"/>
        <v/>
      </c>
      <c r="P457" s="80" t="str">
        <f t="shared" si="53"/>
        <v>-</v>
      </c>
      <c r="Q457" s="75">
        <v>4.3299999999999997E-8</v>
      </c>
      <c r="R457" s="175" t="str">
        <f>IF(OR('Inventaire M-1'!D209="Dispo/Liquidité Investie",'Inventaire M-1'!D209="Option/Future",'Inventaire M-1'!D209="TCN",'Inventaire M-1'!D209=""),"-",'Inventaire M-1'!A209)</f>
        <v>-</v>
      </c>
      <c r="S457" s="175" t="str">
        <f>IF(OR('Inventaire M-1'!D209="Dispo/Liquidité Investie",'Inventaire M-1'!D209="Option/Future",'Inventaire M-1'!D209="TCN",'Inventaire M-1'!D209=""),"-",'Inventaire M-1'!B209)</f>
        <v>-</v>
      </c>
      <c r="T457" s="175"/>
      <c r="U457" s="175" t="str">
        <f>IF(R457="-","",INDEX('Inventaire M-1'!$A$2:$AG$9334,MATCH(R457,'Inventaire M-1'!$A:$A,0)-1,MATCH("Cours EUR",'Inventaire M-1'!#REF!,0)))</f>
        <v/>
      </c>
      <c r="V457" s="175" t="str">
        <f>IF(R457="-","",IF(ISERROR(INDEX('Inventaire M'!$A$2:$AD$9319,MATCH(R457,'Inventaire M'!$A:$A,0)-1,MATCH("Cours EUR",'Inventaire M'!#REF!,0))),"Sell",INDEX('Inventaire M'!$A$2:$AD$9319,MATCH(R457,'Inventaire M'!$A:$A,0)-1,MATCH("Cours EUR",'Inventaire M'!#REF!,0))))</f>
        <v/>
      </c>
      <c r="W457" s="175"/>
      <c r="X457" s="156" t="str">
        <f>IF(R457="-","",INDEX('Inventaire M-1'!$A$2:$AG$9334,MATCH(R457,'Inventaire M-1'!$A:$A,0)-1,MATCH("quantite",'Inventaire M-1'!#REF!,0)))</f>
        <v/>
      </c>
      <c r="Y457" s="156" t="str">
        <f>IF(S457="-","",IF(ISERROR(INDEX('Inventaire M'!$A$2:$AD$9319,MATCH(R457,'Inventaire M'!$A:$A,0)-1,MATCH("quantite",'Inventaire M'!#REF!,0))),"Sell",INDEX('Inventaire M'!$A$2:$AD$9319,MATCH(R457,'Inventaire M'!$A:$A,0)-1,MATCH("quantite",'Inventaire M'!#REF!,0))))</f>
        <v/>
      </c>
      <c r="Z457" s="175"/>
      <c r="AA457" s="155" t="str">
        <f>IF(R457="-","",INDEX('Inventaire M-1'!$A$2:$AG$9334,MATCH(R457,'Inventaire M-1'!$A:$A,0)-1,MATCH("poids",'Inventaire M-1'!#REF!,0)))</f>
        <v/>
      </c>
      <c r="AB457" s="155" t="str">
        <f>IF(R457="-","",IF(ISERROR(INDEX('Inventaire M'!$A$2:$AD$9319,MATCH(R457,'Inventaire M'!$A:$A,0)-1,MATCH("poids",'Inventaire M'!#REF!,0))),"Sell",INDEX('Inventaire M'!$A$2:$AD$9319,MATCH(R457,'Inventaire M'!$A:$A,0)-1,MATCH("poids",'Inventaire M'!#REF!,0))))</f>
        <v/>
      </c>
      <c r="AC457" s="175"/>
      <c r="AD457" s="157" t="str">
        <f t="shared" si="48"/>
        <v>0</v>
      </c>
      <c r="AE457" s="98" t="str">
        <f t="shared" si="49"/>
        <v/>
      </c>
      <c r="AF457" s="80" t="str">
        <f t="shared" si="50"/>
        <v>-</v>
      </c>
    </row>
    <row r="458" spans="2:32" outlineLevel="1">
      <c r="B458" s="175" t="str">
        <f>IF(OR('Inventaire M'!D231="Dispo/Liquidité Investie",'Inventaire M'!D231="Option/Future",'Inventaire M'!D231="TCN",'Inventaire M'!D231=""),"-",'Inventaire M'!A231)</f>
        <v>-</v>
      </c>
      <c r="C458" s="175" t="str">
        <f>IF(OR('Inventaire M'!D231="Dispo/Liquidité Investie",'Inventaire M'!D231="Option/Future",'Inventaire M'!D231="TCN",'Inventaire M'!D231=""),"-",'Inventaire M'!B231)</f>
        <v>-</v>
      </c>
      <c r="D458" s="175"/>
      <c r="E458" s="175" t="str">
        <f>IF(B458="-","",INDEX('Inventaire M'!$A$2:$AW$9305,MATCH(B458,'Inventaire M'!$A:$A,0)-1,MATCH("Cours EUR",'Inventaire M'!#REF!,0)))</f>
        <v/>
      </c>
      <c r="F458" s="175" t="str">
        <f>IF(B458="-","",IF(ISERROR(INDEX('Inventaire M-1'!$A$2:$AZ$9320,MATCH(B458,'Inventaire M-1'!$A:$A,0)-1,MATCH("Cours EUR",'Inventaire M-1'!#REF!,0))),"Buy",INDEX('Inventaire M-1'!$A$2:$AZ$9320,MATCH(B458,'Inventaire M-1'!$A:$A,0)-1,MATCH("Cours EUR",'Inventaire M-1'!#REF!,0))))</f>
        <v/>
      </c>
      <c r="G458" s="175"/>
      <c r="H458" s="156" t="str">
        <f>IF(B458="-","",INDEX('Inventaire M'!$A$2:$AW$9305,MATCH(B458,'Inventaire M'!$A:$A,0)-1,MATCH("quantite",'Inventaire M'!#REF!,0)))</f>
        <v/>
      </c>
      <c r="I458" s="156" t="str">
        <f>IF(C458="-","",IF(ISERROR(INDEX('Inventaire M-1'!$A$2:$AZ$9320,MATCH(B458,'Inventaire M-1'!$A:$A,0)-1,MATCH("quantite",'Inventaire M-1'!#REF!,0))),"Buy",INDEX('Inventaire M-1'!$A$2:$AZ$9320,MATCH(B458,'Inventaire M-1'!$A:$A,0)-1,MATCH("quantite",'Inventaire M-1'!#REF!,0))))</f>
        <v/>
      </c>
      <c r="J458" s="175"/>
      <c r="K458" s="155" t="str">
        <f>IF(B458="-","",INDEX('Inventaire M'!$A$2:$AW$9305,MATCH(B458,'Inventaire M'!$A:$A,0)-1,MATCH("poids",'Inventaire M'!#REF!,0)))</f>
        <v/>
      </c>
      <c r="L458" s="155" t="str">
        <f>IF(B458="-","",IF(ISERROR(INDEX('Inventaire M-1'!$A$2:$AZ$9320,MATCH(B458,'Inventaire M-1'!$A:$A,0)-1,MATCH("poids",'Inventaire M-1'!#REF!,0))),"Buy",INDEX('Inventaire M-1'!$A$2:$AZ$9320,MATCH(B458,'Inventaire M-1'!$A:$A,0)-1,MATCH("poids",'Inventaire M-1'!#REF!,0))))</f>
        <v/>
      </c>
      <c r="M458" s="175"/>
      <c r="N458" s="157" t="str">
        <f t="shared" si="51"/>
        <v>0</v>
      </c>
      <c r="O458" s="98" t="str">
        <f t="shared" si="52"/>
        <v/>
      </c>
      <c r="P458" s="80" t="str">
        <f t="shared" si="53"/>
        <v>-</v>
      </c>
      <c r="Q458" s="75">
        <v>4.3399999999999998E-8</v>
      </c>
      <c r="R458" s="175" t="str">
        <f>IF(OR('Inventaire M-1'!D210="Dispo/Liquidité Investie",'Inventaire M-1'!D210="Option/Future",'Inventaire M-1'!D210="TCN",'Inventaire M-1'!D210=""),"-",'Inventaire M-1'!A210)</f>
        <v>-</v>
      </c>
      <c r="S458" s="175" t="str">
        <f>IF(OR('Inventaire M-1'!D210="Dispo/Liquidité Investie",'Inventaire M-1'!D210="Option/Future",'Inventaire M-1'!D210="TCN",'Inventaire M-1'!D210=""),"-",'Inventaire M-1'!B210)</f>
        <v>-</v>
      </c>
      <c r="T458" s="175"/>
      <c r="U458" s="175" t="str">
        <f>IF(R458="-","",INDEX('Inventaire M-1'!$A$2:$AG$9334,MATCH(R458,'Inventaire M-1'!$A:$A,0)-1,MATCH("Cours EUR",'Inventaire M-1'!#REF!,0)))</f>
        <v/>
      </c>
      <c r="V458" s="175" t="str">
        <f>IF(R458="-","",IF(ISERROR(INDEX('Inventaire M'!$A$2:$AD$9319,MATCH(R458,'Inventaire M'!$A:$A,0)-1,MATCH("Cours EUR",'Inventaire M'!#REF!,0))),"Sell",INDEX('Inventaire M'!$A$2:$AD$9319,MATCH(R458,'Inventaire M'!$A:$A,0)-1,MATCH("Cours EUR",'Inventaire M'!#REF!,0))))</f>
        <v/>
      </c>
      <c r="W458" s="175"/>
      <c r="X458" s="156" t="str">
        <f>IF(R458="-","",INDEX('Inventaire M-1'!$A$2:$AG$9334,MATCH(R458,'Inventaire M-1'!$A:$A,0)-1,MATCH("quantite",'Inventaire M-1'!#REF!,0)))</f>
        <v/>
      </c>
      <c r="Y458" s="156" t="str">
        <f>IF(S458="-","",IF(ISERROR(INDEX('Inventaire M'!$A$2:$AD$9319,MATCH(R458,'Inventaire M'!$A:$A,0)-1,MATCH("quantite",'Inventaire M'!#REF!,0))),"Sell",INDEX('Inventaire M'!$A$2:$AD$9319,MATCH(R458,'Inventaire M'!$A:$A,0)-1,MATCH("quantite",'Inventaire M'!#REF!,0))))</f>
        <v/>
      </c>
      <c r="Z458" s="175"/>
      <c r="AA458" s="155" t="str">
        <f>IF(R458="-","",INDEX('Inventaire M-1'!$A$2:$AG$9334,MATCH(R458,'Inventaire M-1'!$A:$A,0)-1,MATCH("poids",'Inventaire M-1'!#REF!,0)))</f>
        <v/>
      </c>
      <c r="AB458" s="155" t="str">
        <f>IF(R458="-","",IF(ISERROR(INDEX('Inventaire M'!$A$2:$AD$9319,MATCH(R458,'Inventaire M'!$A:$A,0)-1,MATCH("poids",'Inventaire M'!#REF!,0))),"Sell",INDEX('Inventaire M'!$A$2:$AD$9319,MATCH(R458,'Inventaire M'!$A:$A,0)-1,MATCH("poids",'Inventaire M'!#REF!,0))))</f>
        <v/>
      </c>
      <c r="AC458" s="175"/>
      <c r="AD458" s="157" t="str">
        <f t="shared" si="48"/>
        <v>0</v>
      </c>
      <c r="AE458" s="98" t="str">
        <f t="shared" si="49"/>
        <v/>
      </c>
      <c r="AF458" s="80" t="str">
        <f t="shared" si="50"/>
        <v>-</v>
      </c>
    </row>
    <row r="459" spans="2:32" outlineLevel="1">
      <c r="B459" s="175" t="str">
        <f>IF(OR('Inventaire M'!D232="Dispo/Liquidité Investie",'Inventaire M'!D232="Option/Future",'Inventaire M'!D232="TCN",'Inventaire M'!D232=""),"-",'Inventaire M'!A232)</f>
        <v>-</v>
      </c>
      <c r="C459" s="175" t="str">
        <f>IF(OR('Inventaire M'!D232="Dispo/Liquidité Investie",'Inventaire M'!D232="Option/Future",'Inventaire M'!D232="TCN",'Inventaire M'!D232=""),"-",'Inventaire M'!B232)</f>
        <v>-</v>
      </c>
      <c r="D459" s="175"/>
      <c r="E459" s="175" t="str">
        <f>IF(B459="-","",INDEX('Inventaire M'!$A$2:$AW$9305,MATCH(B459,'Inventaire M'!$A:$A,0)-1,MATCH("Cours EUR",'Inventaire M'!#REF!,0)))</f>
        <v/>
      </c>
      <c r="F459" s="175" t="str">
        <f>IF(B459="-","",IF(ISERROR(INDEX('Inventaire M-1'!$A$2:$AZ$9320,MATCH(B459,'Inventaire M-1'!$A:$A,0)-1,MATCH("Cours EUR",'Inventaire M-1'!#REF!,0))),"Buy",INDEX('Inventaire M-1'!$A$2:$AZ$9320,MATCH(B459,'Inventaire M-1'!$A:$A,0)-1,MATCH("Cours EUR",'Inventaire M-1'!#REF!,0))))</f>
        <v/>
      </c>
      <c r="G459" s="175"/>
      <c r="H459" s="156" t="str">
        <f>IF(B459="-","",INDEX('Inventaire M'!$A$2:$AW$9305,MATCH(B459,'Inventaire M'!$A:$A,0)-1,MATCH("quantite",'Inventaire M'!#REF!,0)))</f>
        <v/>
      </c>
      <c r="I459" s="156" t="str">
        <f>IF(C459="-","",IF(ISERROR(INDEX('Inventaire M-1'!$A$2:$AZ$9320,MATCH(B459,'Inventaire M-1'!$A:$A,0)-1,MATCH("quantite",'Inventaire M-1'!#REF!,0))),"Buy",INDEX('Inventaire M-1'!$A$2:$AZ$9320,MATCH(B459,'Inventaire M-1'!$A:$A,0)-1,MATCH("quantite",'Inventaire M-1'!#REF!,0))))</f>
        <v/>
      </c>
      <c r="J459" s="175"/>
      <c r="K459" s="155" t="str">
        <f>IF(B459="-","",INDEX('Inventaire M'!$A$2:$AW$9305,MATCH(B459,'Inventaire M'!$A:$A,0)-1,MATCH("poids",'Inventaire M'!#REF!,0)))</f>
        <v/>
      </c>
      <c r="L459" s="155" t="str">
        <f>IF(B459="-","",IF(ISERROR(INDEX('Inventaire M-1'!$A$2:$AZ$9320,MATCH(B459,'Inventaire M-1'!$A:$A,0)-1,MATCH("poids",'Inventaire M-1'!#REF!,0))),"Buy",INDEX('Inventaire M-1'!$A$2:$AZ$9320,MATCH(B459,'Inventaire M-1'!$A:$A,0)-1,MATCH("poids",'Inventaire M-1'!#REF!,0))))</f>
        <v/>
      </c>
      <c r="M459" s="175"/>
      <c r="N459" s="157" t="str">
        <f t="shared" si="51"/>
        <v>0</v>
      </c>
      <c r="O459" s="98" t="str">
        <f t="shared" si="52"/>
        <v/>
      </c>
      <c r="P459" s="80" t="str">
        <f t="shared" si="53"/>
        <v>-</v>
      </c>
      <c r="Q459" s="75">
        <v>4.3499999999999999E-8</v>
      </c>
      <c r="R459" s="175" t="str">
        <f>IF(OR('Inventaire M-1'!D211="Dispo/Liquidité Investie",'Inventaire M-1'!D211="Option/Future",'Inventaire M-1'!D211="TCN",'Inventaire M-1'!D211=""),"-",'Inventaire M-1'!A211)</f>
        <v>-</v>
      </c>
      <c r="S459" s="175" t="str">
        <f>IF(OR('Inventaire M-1'!D211="Dispo/Liquidité Investie",'Inventaire M-1'!D211="Option/Future",'Inventaire M-1'!D211="TCN",'Inventaire M-1'!D211=""),"-",'Inventaire M-1'!B211)</f>
        <v>-</v>
      </c>
      <c r="T459" s="175"/>
      <c r="U459" s="175" t="str">
        <f>IF(R459="-","",INDEX('Inventaire M-1'!$A$2:$AG$9334,MATCH(R459,'Inventaire M-1'!$A:$A,0)-1,MATCH("Cours EUR",'Inventaire M-1'!#REF!,0)))</f>
        <v/>
      </c>
      <c r="V459" s="175" t="str">
        <f>IF(R459="-","",IF(ISERROR(INDEX('Inventaire M'!$A$2:$AD$9319,MATCH(R459,'Inventaire M'!$A:$A,0)-1,MATCH("Cours EUR",'Inventaire M'!#REF!,0))),"Sell",INDEX('Inventaire M'!$A$2:$AD$9319,MATCH(R459,'Inventaire M'!$A:$A,0)-1,MATCH("Cours EUR",'Inventaire M'!#REF!,0))))</f>
        <v/>
      </c>
      <c r="W459" s="175"/>
      <c r="X459" s="156" t="str">
        <f>IF(R459="-","",INDEX('Inventaire M-1'!$A$2:$AG$9334,MATCH(R459,'Inventaire M-1'!$A:$A,0)-1,MATCH("quantite",'Inventaire M-1'!#REF!,0)))</f>
        <v/>
      </c>
      <c r="Y459" s="156" t="str">
        <f>IF(S459="-","",IF(ISERROR(INDEX('Inventaire M'!$A$2:$AD$9319,MATCH(R459,'Inventaire M'!$A:$A,0)-1,MATCH("quantite",'Inventaire M'!#REF!,0))),"Sell",INDEX('Inventaire M'!$A$2:$AD$9319,MATCH(R459,'Inventaire M'!$A:$A,0)-1,MATCH("quantite",'Inventaire M'!#REF!,0))))</f>
        <v/>
      </c>
      <c r="Z459" s="175"/>
      <c r="AA459" s="155" t="str">
        <f>IF(R459="-","",INDEX('Inventaire M-1'!$A$2:$AG$9334,MATCH(R459,'Inventaire M-1'!$A:$A,0)-1,MATCH("poids",'Inventaire M-1'!#REF!,0)))</f>
        <v/>
      </c>
      <c r="AB459" s="155" t="str">
        <f>IF(R459="-","",IF(ISERROR(INDEX('Inventaire M'!$A$2:$AD$9319,MATCH(R459,'Inventaire M'!$A:$A,0)-1,MATCH("poids",'Inventaire M'!#REF!,0))),"Sell",INDEX('Inventaire M'!$A$2:$AD$9319,MATCH(R459,'Inventaire M'!$A:$A,0)-1,MATCH("poids",'Inventaire M'!#REF!,0))))</f>
        <v/>
      </c>
      <c r="AC459" s="175"/>
      <c r="AD459" s="157" t="str">
        <f t="shared" si="48"/>
        <v>0</v>
      </c>
      <c r="AE459" s="98" t="str">
        <f t="shared" si="49"/>
        <v/>
      </c>
      <c r="AF459" s="80" t="str">
        <f t="shared" si="50"/>
        <v>-</v>
      </c>
    </row>
    <row r="460" spans="2:32" outlineLevel="1">
      <c r="B460" s="175" t="str">
        <f>IF(OR('Inventaire M'!D233="Dispo/Liquidité Investie",'Inventaire M'!D233="Option/Future",'Inventaire M'!D233="TCN",'Inventaire M'!D233=""),"-",'Inventaire M'!A233)</f>
        <v>-</v>
      </c>
      <c r="C460" s="175" t="str">
        <f>IF(OR('Inventaire M'!D233="Dispo/Liquidité Investie",'Inventaire M'!D233="Option/Future",'Inventaire M'!D233="TCN",'Inventaire M'!D233=""),"-",'Inventaire M'!B233)</f>
        <v>-</v>
      </c>
      <c r="D460" s="175"/>
      <c r="E460" s="175" t="str">
        <f>IF(B460="-","",INDEX('Inventaire M'!$A$2:$AW$9305,MATCH(B460,'Inventaire M'!$A:$A,0)-1,MATCH("Cours EUR",'Inventaire M'!#REF!,0)))</f>
        <v/>
      </c>
      <c r="F460" s="175" t="str">
        <f>IF(B460="-","",IF(ISERROR(INDEX('Inventaire M-1'!$A$2:$AZ$9320,MATCH(B460,'Inventaire M-1'!$A:$A,0)-1,MATCH("Cours EUR",'Inventaire M-1'!#REF!,0))),"Buy",INDEX('Inventaire M-1'!$A$2:$AZ$9320,MATCH(B460,'Inventaire M-1'!$A:$A,0)-1,MATCH("Cours EUR",'Inventaire M-1'!#REF!,0))))</f>
        <v/>
      </c>
      <c r="G460" s="175"/>
      <c r="H460" s="156" t="str">
        <f>IF(B460="-","",INDEX('Inventaire M'!$A$2:$AW$9305,MATCH(B460,'Inventaire M'!$A:$A,0)-1,MATCH("quantite",'Inventaire M'!#REF!,0)))</f>
        <v/>
      </c>
      <c r="I460" s="156" t="str">
        <f>IF(C460="-","",IF(ISERROR(INDEX('Inventaire M-1'!$A$2:$AZ$9320,MATCH(B460,'Inventaire M-1'!$A:$A,0)-1,MATCH("quantite",'Inventaire M-1'!#REF!,0))),"Buy",INDEX('Inventaire M-1'!$A$2:$AZ$9320,MATCH(B460,'Inventaire M-1'!$A:$A,0)-1,MATCH("quantite",'Inventaire M-1'!#REF!,0))))</f>
        <v/>
      </c>
      <c r="J460" s="175"/>
      <c r="K460" s="155" t="str">
        <f>IF(B460="-","",INDEX('Inventaire M'!$A$2:$AW$9305,MATCH(B460,'Inventaire M'!$A:$A,0)-1,MATCH("poids",'Inventaire M'!#REF!,0)))</f>
        <v/>
      </c>
      <c r="L460" s="155" t="str">
        <f>IF(B460="-","",IF(ISERROR(INDEX('Inventaire M-1'!$A$2:$AZ$9320,MATCH(B460,'Inventaire M-1'!$A:$A,0)-1,MATCH("poids",'Inventaire M-1'!#REF!,0))),"Buy",INDEX('Inventaire M-1'!$A$2:$AZ$9320,MATCH(B460,'Inventaire M-1'!$A:$A,0)-1,MATCH("poids",'Inventaire M-1'!#REF!,0))))</f>
        <v/>
      </c>
      <c r="M460" s="175"/>
      <c r="N460" s="157" t="str">
        <f t="shared" si="51"/>
        <v>0</v>
      </c>
      <c r="O460" s="98" t="str">
        <f t="shared" si="52"/>
        <v/>
      </c>
      <c r="P460" s="80" t="str">
        <f t="shared" si="53"/>
        <v>-</v>
      </c>
      <c r="Q460" s="75">
        <v>4.36E-8</v>
      </c>
      <c r="R460" s="175" t="str">
        <f>IF(OR('Inventaire M-1'!D212="Dispo/Liquidité Investie",'Inventaire M-1'!D212="Option/Future",'Inventaire M-1'!D212="TCN",'Inventaire M-1'!D212=""),"-",'Inventaire M-1'!A212)</f>
        <v>-</v>
      </c>
      <c r="S460" s="175" t="str">
        <f>IF(OR('Inventaire M-1'!D212="Dispo/Liquidité Investie",'Inventaire M-1'!D212="Option/Future",'Inventaire M-1'!D212="TCN",'Inventaire M-1'!D212=""),"-",'Inventaire M-1'!B212)</f>
        <v>-</v>
      </c>
      <c r="T460" s="175"/>
      <c r="U460" s="175" t="str">
        <f>IF(R460="-","",INDEX('Inventaire M-1'!$A$2:$AG$9334,MATCH(R460,'Inventaire M-1'!$A:$A,0)-1,MATCH("Cours EUR",'Inventaire M-1'!#REF!,0)))</f>
        <v/>
      </c>
      <c r="V460" s="175" t="str">
        <f>IF(R460="-","",IF(ISERROR(INDEX('Inventaire M'!$A$2:$AD$9319,MATCH(R460,'Inventaire M'!$A:$A,0)-1,MATCH("Cours EUR",'Inventaire M'!#REF!,0))),"Sell",INDEX('Inventaire M'!$A$2:$AD$9319,MATCH(R460,'Inventaire M'!$A:$A,0)-1,MATCH("Cours EUR",'Inventaire M'!#REF!,0))))</f>
        <v/>
      </c>
      <c r="W460" s="175"/>
      <c r="X460" s="156" t="str">
        <f>IF(R460="-","",INDEX('Inventaire M-1'!$A$2:$AG$9334,MATCH(R460,'Inventaire M-1'!$A:$A,0)-1,MATCH("quantite",'Inventaire M-1'!#REF!,0)))</f>
        <v/>
      </c>
      <c r="Y460" s="156" t="str">
        <f>IF(S460="-","",IF(ISERROR(INDEX('Inventaire M'!$A$2:$AD$9319,MATCH(R460,'Inventaire M'!$A:$A,0)-1,MATCH("quantite",'Inventaire M'!#REF!,0))),"Sell",INDEX('Inventaire M'!$A$2:$AD$9319,MATCH(R460,'Inventaire M'!$A:$A,0)-1,MATCH("quantite",'Inventaire M'!#REF!,0))))</f>
        <v/>
      </c>
      <c r="Z460" s="175"/>
      <c r="AA460" s="155" t="str">
        <f>IF(R460="-","",INDEX('Inventaire M-1'!$A$2:$AG$9334,MATCH(R460,'Inventaire M-1'!$A:$A,0)-1,MATCH("poids",'Inventaire M-1'!#REF!,0)))</f>
        <v/>
      </c>
      <c r="AB460" s="155" t="str">
        <f>IF(R460="-","",IF(ISERROR(INDEX('Inventaire M'!$A$2:$AD$9319,MATCH(R460,'Inventaire M'!$A:$A,0)-1,MATCH("poids",'Inventaire M'!#REF!,0))),"Sell",INDEX('Inventaire M'!$A$2:$AD$9319,MATCH(R460,'Inventaire M'!$A:$A,0)-1,MATCH("poids",'Inventaire M'!#REF!,0))))</f>
        <v/>
      </c>
      <c r="AC460" s="175"/>
      <c r="AD460" s="157" t="str">
        <f t="shared" si="48"/>
        <v>0</v>
      </c>
      <c r="AE460" s="98" t="str">
        <f t="shared" si="49"/>
        <v/>
      </c>
      <c r="AF460" s="80" t="str">
        <f t="shared" si="50"/>
        <v>-</v>
      </c>
    </row>
    <row r="461" spans="2:32" outlineLevel="1">
      <c r="B461" s="175" t="str">
        <f>IF(OR('Inventaire M'!D234="Dispo/Liquidité Investie",'Inventaire M'!D234="Option/Future",'Inventaire M'!D234="TCN",'Inventaire M'!D234=""),"-",'Inventaire M'!A234)</f>
        <v>-</v>
      </c>
      <c r="C461" s="175" t="str">
        <f>IF(OR('Inventaire M'!D234="Dispo/Liquidité Investie",'Inventaire M'!D234="Option/Future",'Inventaire M'!D234="TCN",'Inventaire M'!D234=""),"-",'Inventaire M'!B234)</f>
        <v>-</v>
      </c>
      <c r="D461" s="175"/>
      <c r="E461" s="175" t="str">
        <f>IF(B461="-","",INDEX('Inventaire M'!$A$2:$AW$9305,MATCH(B461,'Inventaire M'!$A:$A,0)-1,MATCH("Cours EUR",'Inventaire M'!#REF!,0)))</f>
        <v/>
      </c>
      <c r="F461" s="175" t="str">
        <f>IF(B461="-","",IF(ISERROR(INDEX('Inventaire M-1'!$A$2:$AZ$9320,MATCH(B461,'Inventaire M-1'!$A:$A,0)-1,MATCH("Cours EUR",'Inventaire M-1'!#REF!,0))),"Buy",INDEX('Inventaire M-1'!$A$2:$AZ$9320,MATCH(B461,'Inventaire M-1'!$A:$A,0)-1,MATCH("Cours EUR",'Inventaire M-1'!#REF!,0))))</f>
        <v/>
      </c>
      <c r="G461" s="175"/>
      <c r="H461" s="156" t="str">
        <f>IF(B461="-","",INDEX('Inventaire M'!$A$2:$AW$9305,MATCH(B461,'Inventaire M'!$A:$A,0)-1,MATCH("quantite",'Inventaire M'!#REF!,0)))</f>
        <v/>
      </c>
      <c r="I461" s="156" t="str">
        <f>IF(C461="-","",IF(ISERROR(INDEX('Inventaire M-1'!$A$2:$AZ$9320,MATCH(B461,'Inventaire M-1'!$A:$A,0)-1,MATCH("quantite",'Inventaire M-1'!#REF!,0))),"Buy",INDEX('Inventaire M-1'!$A$2:$AZ$9320,MATCH(B461,'Inventaire M-1'!$A:$A,0)-1,MATCH("quantite",'Inventaire M-1'!#REF!,0))))</f>
        <v/>
      </c>
      <c r="J461" s="175"/>
      <c r="K461" s="155" t="str">
        <f>IF(B461="-","",INDEX('Inventaire M'!$A$2:$AW$9305,MATCH(B461,'Inventaire M'!$A:$A,0)-1,MATCH("poids",'Inventaire M'!#REF!,0)))</f>
        <v/>
      </c>
      <c r="L461" s="155" t="str">
        <f>IF(B461="-","",IF(ISERROR(INDEX('Inventaire M-1'!$A$2:$AZ$9320,MATCH(B461,'Inventaire M-1'!$A:$A,0)-1,MATCH("poids",'Inventaire M-1'!#REF!,0))),"Buy",INDEX('Inventaire M-1'!$A$2:$AZ$9320,MATCH(B461,'Inventaire M-1'!$A:$A,0)-1,MATCH("poids",'Inventaire M-1'!#REF!,0))))</f>
        <v/>
      </c>
      <c r="M461" s="175"/>
      <c r="N461" s="157" t="str">
        <f t="shared" si="51"/>
        <v>0</v>
      </c>
      <c r="O461" s="98" t="str">
        <f t="shared" si="52"/>
        <v/>
      </c>
      <c r="P461" s="80" t="str">
        <f t="shared" si="53"/>
        <v>-</v>
      </c>
      <c r="Q461" s="75">
        <v>4.3700000000000001E-8</v>
      </c>
      <c r="R461" s="175" t="str">
        <f>IF(OR('Inventaire M-1'!D213="Dispo/Liquidité Investie",'Inventaire M-1'!D213="Option/Future",'Inventaire M-1'!D213="TCN",'Inventaire M-1'!D213=""),"-",'Inventaire M-1'!A213)</f>
        <v>-</v>
      </c>
      <c r="S461" s="175" t="str">
        <f>IF(OR('Inventaire M-1'!D213="Dispo/Liquidité Investie",'Inventaire M-1'!D213="Option/Future",'Inventaire M-1'!D213="TCN",'Inventaire M-1'!D213=""),"-",'Inventaire M-1'!B213)</f>
        <v>-</v>
      </c>
      <c r="T461" s="175"/>
      <c r="U461" s="175" t="str">
        <f>IF(R461="-","",INDEX('Inventaire M-1'!$A$2:$AG$9334,MATCH(R461,'Inventaire M-1'!$A:$A,0)-1,MATCH("Cours EUR",'Inventaire M-1'!#REF!,0)))</f>
        <v/>
      </c>
      <c r="V461" s="175" t="str">
        <f>IF(R461="-","",IF(ISERROR(INDEX('Inventaire M'!$A$2:$AD$9319,MATCH(R461,'Inventaire M'!$A:$A,0)-1,MATCH("Cours EUR",'Inventaire M'!#REF!,0))),"Sell",INDEX('Inventaire M'!$A$2:$AD$9319,MATCH(R461,'Inventaire M'!$A:$A,0)-1,MATCH("Cours EUR",'Inventaire M'!#REF!,0))))</f>
        <v/>
      </c>
      <c r="W461" s="175"/>
      <c r="X461" s="156" t="str">
        <f>IF(R461="-","",INDEX('Inventaire M-1'!$A$2:$AG$9334,MATCH(R461,'Inventaire M-1'!$A:$A,0)-1,MATCH("quantite",'Inventaire M-1'!#REF!,0)))</f>
        <v/>
      </c>
      <c r="Y461" s="156" t="str">
        <f>IF(S461="-","",IF(ISERROR(INDEX('Inventaire M'!$A$2:$AD$9319,MATCH(R461,'Inventaire M'!$A:$A,0)-1,MATCH("quantite",'Inventaire M'!#REF!,0))),"Sell",INDEX('Inventaire M'!$A$2:$AD$9319,MATCH(R461,'Inventaire M'!$A:$A,0)-1,MATCH("quantite",'Inventaire M'!#REF!,0))))</f>
        <v/>
      </c>
      <c r="Z461" s="175"/>
      <c r="AA461" s="155" t="str">
        <f>IF(R461="-","",INDEX('Inventaire M-1'!$A$2:$AG$9334,MATCH(R461,'Inventaire M-1'!$A:$A,0)-1,MATCH("poids",'Inventaire M-1'!#REF!,0)))</f>
        <v/>
      </c>
      <c r="AB461" s="155" t="str">
        <f>IF(R461="-","",IF(ISERROR(INDEX('Inventaire M'!$A$2:$AD$9319,MATCH(R461,'Inventaire M'!$A:$A,0)-1,MATCH("poids",'Inventaire M'!#REF!,0))),"Sell",INDEX('Inventaire M'!$A$2:$AD$9319,MATCH(R461,'Inventaire M'!$A:$A,0)-1,MATCH("poids",'Inventaire M'!#REF!,0))))</f>
        <v/>
      </c>
      <c r="AC461" s="175"/>
      <c r="AD461" s="157" t="str">
        <f t="shared" si="48"/>
        <v>0</v>
      </c>
      <c r="AE461" s="98" t="str">
        <f t="shared" si="49"/>
        <v/>
      </c>
      <c r="AF461" s="80" t="str">
        <f t="shared" si="50"/>
        <v>-</v>
      </c>
    </row>
    <row r="462" spans="2:32" outlineLevel="1">
      <c r="B462" s="175" t="str">
        <f>IF(OR('Inventaire M'!D235="Dispo/Liquidité Investie",'Inventaire M'!D235="Option/Future",'Inventaire M'!D235="TCN",'Inventaire M'!D235=""),"-",'Inventaire M'!A235)</f>
        <v>-</v>
      </c>
      <c r="C462" s="175" t="str">
        <f>IF(OR('Inventaire M'!D235="Dispo/Liquidité Investie",'Inventaire M'!D235="Option/Future",'Inventaire M'!D235="TCN",'Inventaire M'!D235=""),"-",'Inventaire M'!B235)</f>
        <v>-</v>
      </c>
      <c r="D462" s="175"/>
      <c r="E462" s="175" t="str">
        <f>IF(B462="-","",INDEX('Inventaire M'!$A$2:$AW$9305,MATCH(B462,'Inventaire M'!$A:$A,0)-1,MATCH("Cours EUR",'Inventaire M'!#REF!,0)))</f>
        <v/>
      </c>
      <c r="F462" s="175" t="str">
        <f>IF(B462="-","",IF(ISERROR(INDEX('Inventaire M-1'!$A$2:$AZ$9320,MATCH(B462,'Inventaire M-1'!$A:$A,0)-1,MATCH("Cours EUR",'Inventaire M-1'!#REF!,0))),"Buy",INDEX('Inventaire M-1'!$A$2:$AZ$9320,MATCH(B462,'Inventaire M-1'!$A:$A,0)-1,MATCH("Cours EUR",'Inventaire M-1'!#REF!,0))))</f>
        <v/>
      </c>
      <c r="G462" s="175"/>
      <c r="H462" s="156" t="str">
        <f>IF(B462="-","",INDEX('Inventaire M'!$A$2:$AW$9305,MATCH(B462,'Inventaire M'!$A:$A,0)-1,MATCH("quantite",'Inventaire M'!#REF!,0)))</f>
        <v/>
      </c>
      <c r="I462" s="156" t="str">
        <f>IF(C462="-","",IF(ISERROR(INDEX('Inventaire M-1'!$A$2:$AZ$9320,MATCH(B462,'Inventaire M-1'!$A:$A,0)-1,MATCH("quantite",'Inventaire M-1'!#REF!,0))),"Buy",INDEX('Inventaire M-1'!$A$2:$AZ$9320,MATCH(B462,'Inventaire M-1'!$A:$A,0)-1,MATCH("quantite",'Inventaire M-1'!#REF!,0))))</f>
        <v/>
      </c>
      <c r="J462" s="175"/>
      <c r="K462" s="155" t="str">
        <f>IF(B462="-","",INDEX('Inventaire M'!$A$2:$AW$9305,MATCH(B462,'Inventaire M'!$A:$A,0)-1,MATCH("poids",'Inventaire M'!#REF!,0)))</f>
        <v/>
      </c>
      <c r="L462" s="155" t="str">
        <f>IF(B462="-","",IF(ISERROR(INDEX('Inventaire M-1'!$A$2:$AZ$9320,MATCH(B462,'Inventaire M-1'!$A:$A,0)-1,MATCH("poids",'Inventaire M-1'!#REF!,0))),"Buy",INDEX('Inventaire M-1'!$A$2:$AZ$9320,MATCH(B462,'Inventaire M-1'!$A:$A,0)-1,MATCH("poids",'Inventaire M-1'!#REF!,0))))</f>
        <v/>
      </c>
      <c r="M462" s="175"/>
      <c r="N462" s="157" t="str">
        <f t="shared" si="51"/>
        <v>0</v>
      </c>
      <c r="O462" s="98" t="str">
        <f t="shared" si="52"/>
        <v/>
      </c>
      <c r="P462" s="80" t="str">
        <f t="shared" si="53"/>
        <v>-</v>
      </c>
      <c r="Q462" s="75">
        <v>4.3800000000000002E-8</v>
      </c>
      <c r="R462" s="175" t="str">
        <f>IF(OR('Inventaire M-1'!D214="Dispo/Liquidité Investie",'Inventaire M-1'!D214="Option/Future",'Inventaire M-1'!D214="TCN",'Inventaire M-1'!D214=""),"-",'Inventaire M-1'!A214)</f>
        <v>-</v>
      </c>
      <c r="S462" s="175" t="str">
        <f>IF(OR('Inventaire M-1'!D214="Dispo/Liquidité Investie",'Inventaire M-1'!D214="Option/Future",'Inventaire M-1'!D214="TCN",'Inventaire M-1'!D214=""),"-",'Inventaire M-1'!B214)</f>
        <v>-</v>
      </c>
      <c r="T462" s="175"/>
      <c r="U462" s="175" t="str">
        <f>IF(R462="-","",INDEX('Inventaire M-1'!$A$2:$AG$9334,MATCH(R462,'Inventaire M-1'!$A:$A,0)-1,MATCH("Cours EUR",'Inventaire M-1'!#REF!,0)))</f>
        <v/>
      </c>
      <c r="V462" s="175" t="str">
        <f>IF(R462="-","",IF(ISERROR(INDEX('Inventaire M'!$A$2:$AD$9319,MATCH(R462,'Inventaire M'!$A:$A,0)-1,MATCH("Cours EUR",'Inventaire M'!#REF!,0))),"Sell",INDEX('Inventaire M'!$A$2:$AD$9319,MATCH(R462,'Inventaire M'!$A:$A,0)-1,MATCH("Cours EUR",'Inventaire M'!#REF!,0))))</f>
        <v/>
      </c>
      <c r="W462" s="175"/>
      <c r="X462" s="156" t="str">
        <f>IF(R462="-","",INDEX('Inventaire M-1'!$A$2:$AG$9334,MATCH(R462,'Inventaire M-1'!$A:$A,0)-1,MATCH("quantite",'Inventaire M-1'!#REF!,0)))</f>
        <v/>
      </c>
      <c r="Y462" s="156" t="str">
        <f>IF(S462="-","",IF(ISERROR(INDEX('Inventaire M'!$A$2:$AD$9319,MATCH(R462,'Inventaire M'!$A:$A,0)-1,MATCH("quantite",'Inventaire M'!#REF!,0))),"Sell",INDEX('Inventaire M'!$A$2:$AD$9319,MATCH(R462,'Inventaire M'!$A:$A,0)-1,MATCH("quantite",'Inventaire M'!#REF!,0))))</f>
        <v/>
      </c>
      <c r="Z462" s="175"/>
      <c r="AA462" s="155" t="str">
        <f>IF(R462="-","",INDEX('Inventaire M-1'!$A$2:$AG$9334,MATCH(R462,'Inventaire M-1'!$A:$A,0)-1,MATCH("poids",'Inventaire M-1'!#REF!,0)))</f>
        <v/>
      </c>
      <c r="AB462" s="155" t="str">
        <f>IF(R462="-","",IF(ISERROR(INDEX('Inventaire M'!$A$2:$AD$9319,MATCH(R462,'Inventaire M'!$A:$A,0)-1,MATCH("poids",'Inventaire M'!#REF!,0))),"Sell",INDEX('Inventaire M'!$A$2:$AD$9319,MATCH(R462,'Inventaire M'!$A:$A,0)-1,MATCH("poids",'Inventaire M'!#REF!,0))))</f>
        <v/>
      </c>
      <c r="AC462" s="175"/>
      <c r="AD462" s="157" t="str">
        <f t="shared" si="48"/>
        <v>0</v>
      </c>
      <c r="AE462" s="98" t="str">
        <f t="shared" si="49"/>
        <v/>
      </c>
      <c r="AF462" s="80" t="str">
        <f t="shared" si="50"/>
        <v>-</v>
      </c>
    </row>
    <row r="463" spans="2:32" outlineLevel="1">
      <c r="B463" s="175" t="str">
        <f>IF(OR('Inventaire M'!D236="Dispo/Liquidité Investie",'Inventaire M'!D236="Option/Future",'Inventaire M'!D236="TCN",'Inventaire M'!D236=""),"-",'Inventaire M'!A236)</f>
        <v>-</v>
      </c>
      <c r="C463" s="175" t="str">
        <f>IF(OR('Inventaire M'!D236="Dispo/Liquidité Investie",'Inventaire M'!D236="Option/Future",'Inventaire M'!D236="TCN",'Inventaire M'!D236=""),"-",'Inventaire M'!B236)</f>
        <v>-</v>
      </c>
      <c r="D463" s="175"/>
      <c r="E463" s="175" t="str">
        <f>IF(B463="-","",INDEX('Inventaire M'!$A$2:$AW$9305,MATCH(B463,'Inventaire M'!$A:$A,0)-1,MATCH("Cours EUR",'Inventaire M'!#REF!,0)))</f>
        <v/>
      </c>
      <c r="F463" s="175" t="str">
        <f>IF(B463="-","",IF(ISERROR(INDEX('Inventaire M-1'!$A$2:$AZ$9320,MATCH(B463,'Inventaire M-1'!$A:$A,0)-1,MATCH("Cours EUR",'Inventaire M-1'!#REF!,0))),"Buy",INDEX('Inventaire M-1'!$A$2:$AZ$9320,MATCH(B463,'Inventaire M-1'!$A:$A,0)-1,MATCH("Cours EUR",'Inventaire M-1'!#REF!,0))))</f>
        <v/>
      </c>
      <c r="G463" s="175"/>
      <c r="H463" s="156" t="str">
        <f>IF(B463="-","",INDEX('Inventaire M'!$A$2:$AW$9305,MATCH(B463,'Inventaire M'!$A:$A,0)-1,MATCH("quantite",'Inventaire M'!#REF!,0)))</f>
        <v/>
      </c>
      <c r="I463" s="156" t="str">
        <f>IF(C463="-","",IF(ISERROR(INDEX('Inventaire M-1'!$A$2:$AZ$9320,MATCH(B463,'Inventaire M-1'!$A:$A,0)-1,MATCH("quantite",'Inventaire M-1'!#REF!,0))),"Buy",INDEX('Inventaire M-1'!$A$2:$AZ$9320,MATCH(B463,'Inventaire M-1'!$A:$A,0)-1,MATCH("quantite",'Inventaire M-1'!#REF!,0))))</f>
        <v/>
      </c>
      <c r="J463" s="175"/>
      <c r="K463" s="155" t="str">
        <f>IF(B463="-","",INDEX('Inventaire M'!$A$2:$AW$9305,MATCH(B463,'Inventaire M'!$A:$A,0)-1,MATCH("poids",'Inventaire M'!#REF!,0)))</f>
        <v/>
      </c>
      <c r="L463" s="155" t="str">
        <f>IF(B463="-","",IF(ISERROR(INDEX('Inventaire M-1'!$A$2:$AZ$9320,MATCH(B463,'Inventaire M-1'!$A:$A,0)-1,MATCH("poids",'Inventaire M-1'!#REF!,0))),"Buy",INDEX('Inventaire M-1'!$A$2:$AZ$9320,MATCH(B463,'Inventaire M-1'!$A:$A,0)-1,MATCH("poids",'Inventaire M-1'!#REF!,0))))</f>
        <v/>
      </c>
      <c r="M463" s="175"/>
      <c r="N463" s="157" t="str">
        <f t="shared" si="51"/>
        <v>0</v>
      </c>
      <c r="O463" s="98" t="str">
        <f t="shared" si="52"/>
        <v/>
      </c>
      <c r="P463" s="80" t="str">
        <f t="shared" si="53"/>
        <v>-</v>
      </c>
      <c r="Q463" s="75">
        <v>4.3900000000000003E-8</v>
      </c>
      <c r="R463" s="175" t="str">
        <f>IF(OR('Inventaire M-1'!D215="Dispo/Liquidité Investie",'Inventaire M-1'!D215="Option/Future",'Inventaire M-1'!D215="TCN",'Inventaire M-1'!D215=""),"-",'Inventaire M-1'!A215)</f>
        <v>-</v>
      </c>
      <c r="S463" s="175" t="str">
        <f>IF(OR('Inventaire M-1'!D215="Dispo/Liquidité Investie",'Inventaire M-1'!D215="Option/Future",'Inventaire M-1'!D215="TCN",'Inventaire M-1'!D215=""),"-",'Inventaire M-1'!B215)</f>
        <v>-</v>
      </c>
      <c r="T463" s="175"/>
      <c r="U463" s="175" t="str">
        <f>IF(R463="-","",INDEX('Inventaire M-1'!$A$2:$AG$9334,MATCH(R463,'Inventaire M-1'!$A:$A,0)-1,MATCH("Cours EUR",'Inventaire M-1'!#REF!,0)))</f>
        <v/>
      </c>
      <c r="V463" s="175" t="str">
        <f>IF(R463="-","",IF(ISERROR(INDEX('Inventaire M'!$A$2:$AD$9319,MATCH(R463,'Inventaire M'!$A:$A,0)-1,MATCH("Cours EUR",'Inventaire M'!#REF!,0))),"Sell",INDEX('Inventaire M'!$A$2:$AD$9319,MATCH(R463,'Inventaire M'!$A:$A,0)-1,MATCH("Cours EUR",'Inventaire M'!#REF!,0))))</f>
        <v/>
      </c>
      <c r="W463" s="175"/>
      <c r="X463" s="156" t="str">
        <f>IF(R463="-","",INDEX('Inventaire M-1'!$A$2:$AG$9334,MATCH(R463,'Inventaire M-1'!$A:$A,0)-1,MATCH("quantite",'Inventaire M-1'!#REF!,0)))</f>
        <v/>
      </c>
      <c r="Y463" s="156" t="str">
        <f>IF(S463="-","",IF(ISERROR(INDEX('Inventaire M'!$A$2:$AD$9319,MATCH(R463,'Inventaire M'!$A:$A,0)-1,MATCH("quantite",'Inventaire M'!#REF!,0))),"Sell",INDEX('Inventaire M'!$A$2:$AD$9319,MATCH(R463,'Inventaire M'!$A:$A,0)-1,MATCH("quantite",'Inventaire M'!#REF!,0))))</f>
        <v/>
      </c>
      <c r="Z463" s="175"/>
      <c r="AA463" s="155" t="str">
        <f>IF(R463="-","",INDEX('Inventaire M-1'!$A$2:$AG$9334,MATCH(R463,'Inventaire M-1'!$A:$A,0)-1,MATCH("poids",'Inventaire M-1'!#REF!,0)))</f>
        <v/>
      </c>
      <c r="AB463" s="155" t="str">
        <f>IF(R463="-","",IF(ISERROR(INDEX('Inventaire M'!$A$2:$AD$9319,MATCH(R463,'Inventaire M'!$A:$A,0)-1,MATCH("poids",'Inventaire M'!#REF!,0))),"Sell",INDEX('Inventaire M'!$A$2:$AD$9319,MATCH(R463,'Inventaire M'!$A:$A,0)-1,MATCH("poids",'Inventaire M'!#REF!,0))))</f>
        <v/>
      </c>
      <c r="AC463" s="175"/>
      <c r="AD463" s="157" t="str">
        <f t="shared" si="48"/>
        <v>0</v>
      </c>
      <c r="AE463" s="98" t="str">
        <f t="shared" si="49"/>
        <v/>
      </c>
      <c r="AF463" s="80" t="str">
        <f t="shared" si="50"/>
        <v>-</v>
      </c>
    </row>
    <row r="464" spans="2:32" outlineLevel="1">
      <c r="B464" s="175" t="str">
        <f>IF(OR('Inventaire M'!D237="Dispo/Liquidité Investie",'Inventaire M'!D237="Option/Future",'Inventaire M'!D237="TCN",'Inventaire M'!D237=""),"-",'Inventaire M'!A237)</f>
        <v>-</v>
      </c>
      <c r="C464" s="175" t="str">
        <f>IF(OR('Inventaire M'!D237="Dispo/Liquidité Investie",'Inventaire M'!D237="Option/Future",'Inventaire M'!D237="TCN",'Inventaire M'!D237=""),"-",'Inventaire M'!B237)</f>
        <v>-</v>
      </c>
      <c r="D464" s="175"/>
      <c r="E464" s="175" t="str">
        <f>IF(B464="-","",INDEX('Inventaire M'!$A$2:$AW$9305,MATCH(B464,'Inventaire M'!$A:$A,0)-1,MATCH("Cours EUR",'Inventaire M'!#REF!,0)))</f>
        <v/>
      </c>
      <c r="F464" s="175" t="str">
        <f>IF(B464="-","",IF(ISERROR(INDEX('Inventaire M-1'!$A$2:$AZ$9320,MATCH(B464,'Inventaire M-1'!$A:$A,0)-1,MATCH("Cours EUR",'Inventaire M-1'!#REF!,0))),"Buy",INDEX('Inventaire M-1'!$A$2:$AZ$9320,MATCH(B464,'Inventaire M-1'!$A:$A,0)-1,MATCH("Cours EUR",'Inventaire M-1'!#REF!,0))))</f>
        <v/>
      </c>
      <c r="G464" s="175"/>
      <c r="H464" s="156" t="str">
        <f>IF(B464="-","",INDEX('Inventaire M'!$A$2:$AW$9305,MATCH(B464,'Inventaire M'!$A:$A,0)-1,MATCH("quantite",'Inventaire M'!#REF!,0)))</f>
        <v/>
      </c>
      <c r="I464" s="156" t="str">
        <f>IF(C464="-","",IF(ISERROR(INDEX('Inventaire M-1'!$A$2:$AZ$9320,MATCH(B464,'Inventaire M-1'!$A:$A,0)-1,MATCH("quantite",'Inventaire M-1'!#REF!,0))),"Buy",INDEX('Inventaire M-1'!$A$2:$AZ$9320,MATCH(B464,'Inventaire M-1'!$A:$A,0)-1,MATCH("quantite",'Inventaire M-1'!#REF!,0))))</f>
        <v/>
      </c>
      <c r="J464" s="175"/>
      <c r="K464" s="155" t="str">
        <f>IF(B464="-","",INDEX('Inventaire M'!$A$2:$AW$9305,MATCH(B464,'Inventaire M'!$A:$A,0)-1,MATCH("poids",'Inventaire M'!#REF!,0)))</f>
        <v/>
      </c>
      <c r="L464" s="155" t="str">
        <f>IF(B464="-","",IF(ISERROR(INDEX('Inventaire M-1'!$A$2:$AZ$9320,MATCH(B464,'Inventaire M-1'!$A:$A,0)-1,MATCH("poids",'Inventaire M-1'!#REF!,0))),"Buy",INDEX('Inventaire M-1'!$A$2:$AZ$9320,MATCH(B464,'Inventaire M-1'!$A:$A,0)-1,MATCH("poids",'Inventaire M-1'!#REF!,0))))</f>
        <v/>
      </c>
      <c r="M464" s="175"/>
      <c r="N464" s="157" t="str">
        <f t="shared" si="51"/>
        <v>0</v>
      </c>
      <c r="O464" s="98" t="str">
        <f t="shared" si="52"/>
        <v/>
      </c>
      <c r="P464" s="80" t="str">
        <f t="shared" si="53"/>
        <v>-</v>
      </c>
      <c r="Q464" s="75">
        <v>4.3999999999999997E-8</v>
      </c>
      <c r="R464" s="175" t="str">
        <f>IF(OR('Inventaire M-1'!D216="Dispo/Liquidité Investie",'Inventaire M-1'!D216="Option/Future",'Inventaire M-1'!D216="TCN",'Inventaire M-1'!D216=""),"-",'Inventaire M-1'!A216)</f>
        <v>-</v>
      </c>
      <c r="S464" s="175" t="str">
        <f>IF(OR('Inventaire M-1'!D216="Dispo/Liquidité Investie",'Inventaire M-1'!D216="Option/Future",'Inventaire M-1'!D216="TCN",'Inventaire M-1'!D216=""),"-",'Inventaire M-1'!B216)</f>
        <v>-</v>
      </c>
      <c r="T464" s="175"/>
      <c r="U464" s="175" t="str">
        <f>IF(R464="-","",INDEX('Inventaire M-1'!$A$2:$AG$9334,MATCH(R464,'Inventaire M-1'!$A:$A,0)-1,MATCH("Cours EUR",'Inventaire M-1'!#REF!,0)))</f>
        <v/>
      </c>
      <c r="V464" s="175" t="str">
        <f>IF(R464="-","",IF(ISERROR(INDEX('Inventaire M'!$A$2:$AD$9319,MATCH(R464,'Inventaire M'!$A:$A,0)-1,MATCH("Cours EUR",'Inventaire M'!#REF!,0))),"Sell",INDEX('Inventaire M'!$A$2:$AD$9319,MATCH(R464,'Inventaire M'!$A:$A,0)-1,MATCH("Cours EUR",'Inventaire M'!#REF!,0))))</f>
        <v/>
      </c>
      <c r="W464" s="175"/>
      <c r="X464" s="156" t="str">
        <f>IF(R464="-","",INDEX('Inventaire M-1'!$A$2:$AG$9334,MATCH(R464,'Inventaire M-1'!$A:$A,0)-1,MATCH("quantite",'Inventaire M-1'!#REF!,0)))</f>
        <v/>
      </c>
      <c r="Y464" s="156" t="str">
        <f>IF(S464="-","",IF(ISERROR(INDEX('Inventaire M'!$A$2:$AD$9319,MATCH(R464,'Inventaire M'!$A:$A,0)-1,MATCH("quantite",'Inventaire M'!#REF!,0))),"Sell",INDEX('Inventaire M'!$A$2:$AD$9319,MATCH(R464,'Inventaire M'!$A:$A,0)-1,MATCH("quantite",'Inventaire M'!#REF!,0))))</f>
        <v/>
      </c>
      <c r="Z464" s="175"/>
      <c r="AA464" s="155" t="str">
        <f>IF(R464="-","",INDEX('Inventaire M-1'!$A$2:$AG$9334,MATCH(R464,'Inventaire M-1'!$A:$A,0)-1,MATCH("poids",'Inventaire M-1'!#REF!,0)))</f>
        <v/>
      </c>
      <c r="AB464" s="155" t="str">
        <f>IF(R464="-","",IF(ISERROR(INDEX('Inventaire M'!$A$2:$AD$9319,MATCH(R464,'Inventaire M'!$A:$A,0)-1,MATCH("poids",'Inventaire M'!#REF!,0))),"Sell",INDEX('Inventaire M'!$A$2:$AD$9319,MATCH(R464,'Inventaire M'!$A:$A,0)-1,MATCH("poids",'Inventaire M'!#REF!,0))))</f>
        <v/>
      </c>
      <c r="AC464" s="175"/>
      <c r="AD464" s="157" t="str">
        <f t="shared" si="48"/>
        <v>0</v>
      </c>
      <c r="AE464" s="98" t="str">
        <f t="shared" si="49"/>
        <v/>
      </c>
      <c r="AF464" s="80" t="str">
        <f t="shared" si="50"/>
        <v>-</v>
      </c>
    </row>
    <row r="465" spans="2:32" outlineLevel="1">
      <c r="B465" s="175" t="str">
        <f>IF(OR('Inventaire M'!D238="Dispo/Liquidité Investie",'Inventaire M'!D238="Option/Future",'Inventaire M'!D238="TCN",'Inventaire M'!D238=""),"-",'Inventaire M'!A238)</f>
        <v>-</v>
      </c>
      <c r="C465" s="175" t="str">
        <f>IF(OR('Inventaire M'!D238="Dispo/Liquidité Investie",'Inventaire M'!D238="Option/Future",'Inventaire M'!D238="TCN",'Inventaire M'!D238=""),"-",'Inventaire M'!B238)</f>
        <v>-</v>
      </c>
      <c r="D465" s="175"/>
      <c r="E465" s="175" t="str">
        <f>IF(B465="-","",INDEX('Inventaire M'!$A$2:$AW$9305,MATCH(B465,'Inventaire M'!$A:$A,0)-1,MATCH("Cours EUR",'Inventaire M'!#REF!,0)))</f>
        <v/>
      </c>
      <c r="F465" s="175" t="str">
        <f>IF(B465="-","",IF(ISERROR(INDEX('Inventaire M-1'!$A$2:$AZ$9320,MATCH(B465,'Inventaire M-1'!$A:$A,0)-1,MATCH("Cours EUR",'Inventaire M-1'!#REF!,0))),"Buy",INDEX('Inventaire M-1'!$A$2:$AZ$9320,MATCH(B465,'Inventaire M-1'!$A:$A,0)-1,MATCH("Cours EUR",'Inventaire M-1'!#REF!,0))))</f>
        <v/>
      </c>
      <c r="G465" s="175"/>
      <c r="H465" s="156" t="str">
        <f>IF(B465="-","",INDEX('Inventaire M'!$A$2:$AW$9305,MATCH(B465,'Inventaire M'!$A:$A,0)-1,MATCH("quantite",'Inventaire M'!#REF!,0)))</f>
        <v/>
      </c>
      <c r="I465" s="156" t="str">
        <f>IF(C465="-","",IF(ISERROR(INDEX('Inventaire M-1'!$A$2:$AZ$9320,MATCH(B465,'Inventaire M-1'!$A:$A,0)-1,MATCH("quantite",'Inventaire M-1'!#REF!,0))),"Buy",INDEX('Inventaire M-1'!$A$2:$AZ$9320,MATCH(B465,'Inventaire M-1'!$A:$A,0)-1,MATCH("quantite",'Inventaire M-1'!#REF!,0))))</f>
        <v/>
      </c>
      <c r="J465" s="175"/>
      <c r="K465" s="155" t="str">
        <f>IF(B465="-","",INDEX('Inventaire M'!$A$2:$AW$9305,MATCH(B465,'Inventaire M'!$A:$A,0)-1,MATCH("poids",'Inventaire M'!#REF!,0)))</f>
        <v/>
      </c>
      <c r="L465" s="155" t="str">
        <f>IF(B465="-","",IF(ISERROR(INDEX('Inventaire M-1'!$A$2:$AZ$9320,MATCH(B465,'Inventaire M-1'!$A:$A,0)-1,MATCH("poids",'Inventaire M-1'!#REF!,0))),"Buy",INDEX('Inventaire M-1'!$A$2:$AZ$9320,MATCH(B465,'Inventaire M-1'!$A:$A,0)-1,MATCH("poids",'Inventaire M-1'!#REF!,0))))</f>
        <v/>
      </c>
      <c r="M465" s="175"/>
      <c r="N465" s="157" t="str">
        <f t="shared" si="51"/>
        <v>0</v>
      </c>
      <c r="O465" s="98" t="str">
        <f t="shared" si="52"/>
        <v/>
      </c>
      <c r="P465" s="80" t="str">
        <f t="shared" si="53"/>
        <v>-</v>
      </c>
      <c r="Q465" s="75">
        <v>4.4099999999999998E-8</v>
      </c>
      <c r="R465" s="175" t="str">
        <f>IF(OR('Inventaire M-1'!D217="Dispo/Liquidité Investie",'Inventaire M-1'!D217="Option/Future",'Inventaire M-1'!D217="TCN",'Inventaire M-1'!D217=""),"-",'Inventaire M-1'!A217)</f>
        <v>-</v>
      </c>
      <c r="S465" s="175" t="str">
        <f>IF(OR('Inventaire M-1'!D217="Dispo/Liquidité Investie",'Inventaire M-1'!D217="Option/Future",'Inventaire M-1'!D217="TCN",'Inventaire M-1'!D217=""),"-",'Inventaire M-1'!B217)</f>
        <v>-</v>
      </c>
      <c r="T465" s="175"/>
      <c r="U465" s="175" t="str">
        <f>IF(R465="-","",INDEX('Inventaire M-1'!$A$2:$AG$9334,MATCH(R465,'Inventaire M-1'!$A:$A,0)-1,MATCH("Cours EUR",'Inventaire M-1'!#REF!,0)))</f>
        <v/>
      </c>
      <c r="V465" s="175" t="str">
        <f>IF(R465="-","",IF(ISERROR(INDEX('Inventaire M'!$A$2:$AD$9319,MATCH(R465,'Inventaire M'!$A:$A,0)-1,MATCH("Cours EUR",'Inventaire M'!#REF!,0))),"Sell",INDEX('Inventaire M'!$A$2:$AD$9319,MATCH(R465,'Inventaire M'!$A:$A,0)-1,MATCH("Cours EUR",'Inventaire M'!#REF!,0))))</f>
        <v/>
      </c>
      <c r="W465" s="175"/>
      <c r="X465" s="156" t="str">
        <f>IF(R465="-","",INDEX('Inventaire M-1'!$A$2:$AG$9334,MATCH(R465,'Inventaire M-1'!$A:$A,0)-1,MATCH("quantite",'Inventaire M-1'!#REF!,0)))</f>
        <v/>
      </c>
      <c r="Y465" s="156" t="str">
        <f>IF(S465="-","",IF(ISERROR(INDEX('Inventaire M'!$A$2:$AD$9319,MATCH(R465,'Inventaire M'!$A:$A,0)-1,MATCH("quantite",'Inventaire M'!#REF!,0))),"Sell",INDEX('Inventaire M'!$A$2:$AD$9319,MATCH(R465,'Inventaire M'!$A:$A,0)-1,MATCH("quantite",'Inventaire M'!#REF!,0))))</f>
        <v/>
      </c>
      <c r="Z465" s="175"/>
      <c r="AA465" s="155" t="str">
        <f>IF(R465="-","",INDEX('Inventaire M-1'!$A$2:$AG$9334,MATCH(R465,'Inventaire M-1'!$A:$A,0)-1,MATCH("poids",'Inventaire M-1'!#REF!,0)))</f>
        <v/>
      </c>
      <c r="AB465" s="155" t="str">
        <f>IF(R465="-","",IF(ISERROR(INDEX('Inventaire M'!$A$2:$AD$9319,MATCH(R465,'Inventaire M'!$A:$A,0)-1,MATCH("poids",'Inventaire M'!#REF!,0))),"Sell",INDEX('Inventaire M'!$A$2:$AD$9319,MATCH(R465,'Inventaire M'!$A:$A,0)-1,MATCH("poids",'Inventaire M'!#REF!,0))))</f>
        <v/>
      </c>
      <c r="AC465" s="175"/>
      <c r="AD465" s="157" t="str">
        <f t="shared" si="48"/>
        <v>0</v>
      </c>
      <c r="AE465" s="98" t="str">
        <f t="shared" si="49"/>
        <v/>
      </c>
      <c r="AF465" s="80" t="str">
        <f t="shared" si="50"/>
        <v>-</v>
      </c>
    </row>
    <row r="466" spans="2:32" outlineLevel="1">
      <c r="B466" s="175" t="str">
        <f>IF(OR('Inventaire M'!D239="Dispo/Liquidité Investie",'Inventaire M'!D239="Option/Future",'Inventaire M'!D239="TCN",'Inventaire M'!D239=""),"-",'Inventaire M'!A239)</f>
        <v>-</v>
      </c>
      <c r="C466" s="175" t="str">
        <f>IF(OR('Inventaire M'!D239="Dispo/Liquidité Investie",'Inventaire M'!D239="Option/Future",'Inventaire M'!D239="TCN",'Inventaire M'!D239=""),"-",'Inventaire M'!B239)</f>
        <v>-</v>
      </c>
      <c r="D466" s="175"/>
      <c r="E466" s="175" t="str">
        <f>IF(B466="-","",INDEX('Inventaire M'!$A$2:$AW$9305,MATCH(B466,'Inventaire M'!$A:$A,0)-1,MATCH("Cours EUR",'Inventaire M'!#REF!,0)))</f>
        <v/>
      </c>
      <c r="F466" s="175" t="str">
        <f>IF(B466="-","",IF(ISERROR(INDEX('Inventaire M-1'!$A$2:$AZ$9320,MATCH(B466,'Inventaire M-1'!$A:$A,0)-1,MATCH("Cours EUR",'Inventaire M-1'!#REF!,0))),"Buy",INDEX('Inventaire M-1'!$A$2:$AZ$9320,MATCH(B466,'Inventaire M-1'!$A:$A,0)-1,MATCH("Cours EUR",'Inventaire M-1'!#REF!,0))))</f>
        <v/>
      </c>
      <c r="G466" s="175"/>
      <c r="H466" s="156" t="str">
        <f>IF(B466="-","",INDEX('Inventaire M'!$A$2:$AW$9305,MATCH(B466,'Inventaire M'!$A:$A,0)-1,MATCH("quantite",'Inventaire M'!#REF!,0)))</f>
        <v/>
      </c>
      <c r="I466" s="156" t="str">
        <f>IF(C466="-","",IF(ISERROR(INDEX('Inventaire M-1'!$A$2:$AZ$9320,MATCH(B466,'Inventaire M-1'!$A:$A,0)-1,MATCH("quantite",'Inventaire M-1'!#REF!,0))),"Buy",INDEX('Inventaire M-1'!$A$2:$AZ$9320,MATCH(B466,'Inventaire M-1'!$A:$A,0)-1,MATCH("quantite",'Inventaire M-1'!#REF!,0))))</f>
        <v/>
      </c>
      <c r="J466" s="175"/>
      <c r="K466" s="155" t="str">
        <f>IF(B466="-","",INDEX('Inventaire M'!$A$2:$AW$9305,MATCH(B466,'Inventaire M'!$A:$A,0)-1,MATCH("poids",'Inventaire M'!#REF!,0)))</f>
        <v/>
      </c>
      <c r="L466" s="155" t="str">
        <f>IF(B466="-","",IF(ISERROR(INDEX('Inventaire M-1'!$A$2:$AZ$9320,MATCH(B466,'Inventaire M-1'!$A:$A,0)-1,MATCH("poids",'Inventaire M-1'!#REF!,0))),"Buy",INDEX('Inventaire M-1'!$A$2:$AZ$9320,MATCH(B466,'Inventaire M-1'!$A:$A,0)-1,MATCH("poids",'Inventaire M-1'!#REF!,0))))</f>
        <v/>
      </c>
      <c r="M466" s="175"/>
      <c r="N466" s="157" t="str">
        <f t="shared" si="51"/>
        <v>0</v>
      </c>
      <c r="O466" s="98" t="str">
        <f t="shared" si="52"/>
        <v/>
      </c>
      <c r="P466" s="80" t="str">
        <f t="shared" si="53"/>
        <v>-</v>
      </c>
      <c r="Q466" s="75">
        <v>4.4199999999999999E-8</v>
      </c>
      <c r="R466" s="175" t="str">
        <f>IF(OR('Inventaire M-1'!D218="Dispo/Liquidité Investie",'Inventaire M-1'!D218="Option/Future",'Inventaire M-1'!D218="TCN",'Inventaire M-1'!D218=""),"-",'Inventaire M-1'!A218)</f>
        <v>-</v>
      </c>
      <c r="S466" s="175" t="str">
        <f>IF(OR('Inventaire M-1'!D218="Dispo/Liquidité Investie",'Inventaire M-1'!D218="Option/Future",'Inventaire M-1'!D218="TCN",'Inventaire M-1'!D218=""),"-",'Inventaire M-1'!B218)</f>
        <v>-</v>
      </c>
      <c r="T466" s="175"/>
      <c r="U466" s="175" t="str">
        <f>IF(R466="-","",INDEX('Inventaire M-1'!$A$2:$AG$9334,MATCH(R466,'Inventaire M-1'!$A:$A,0)-1,MATCH("Cours EUR",'Inventaire M-1'!#REF!,0)))</f>
        <v/>
      </c>
      <c r="V466" s="175" t="str">
        <f>IF(R466="-","",IF(ISERROR(INDEX('Inventaire M'!$A$2:$AD$9319,MATCH(R466,'Inventaire M'!$A:$A,0)-1,MATCH("Cours EUR",'Inventaire M'!#REF!,0))),"Sell",INDEX('Inventaire M'!$A$2:$AD$9319,MATCH(R466,'Inventaire M'!$A:$A,0)-1,MATCH("Cours EUR",'Inventaire M'!#REF!,0))))</f>
        <v/>
      </c>
      <c r="W466" s="175"/>
      <c r="X466" s="156" t="str">
        <f>IF(R466="-","",INDEX('Inventaire M-1'!$A$2:$AG$9334,MATCH(R466,'Inventaire M-1'!$A:$A,0)-1,MATCH("quantite",'Inventaire M-1'!#REF!,0)))</f>
        <v/>
      </c>
      <c r="Y466" s="156" t="str">
        <f>IF(S466="-","",IF(ISERROR(INDEX('Inventaire M'!$A$2:$AD$9319,MATCH(R466,'Inventaire M'!$A:$A,0)-1,MATCH("quantite",'Inventaire M'!#REF!,0))),"Sell",INDEX('Inventaire M'!$A$2:$AD$9319,MATCH(R466,'Inventaire M'!$A:$A,0)-1,MATCH("quantite",'Inventaire M'!#REF!,0))))</f>
        <v/>
      </c>
      <c r="Z466" s="175"/>
      <c r="AA466" s="155" t="str">
        <f>IF(R466="-","",INDEX('Inventaire M-1'!$A$2:$AG$9334,MATCH(R466,'Inventaire M-1'!$A:$A,0)-1,MATCH("poids",'Inventaire M-1'!#REF!,0)))</f>
        <v/>
      </c>
      <c r="AB466" s="155" t="str">
        <f>IF(R466="-","",IF(ISERROR(INDEX('Inventaire M'!$A$2:$AD$9319,MATCH(R466,'Inventaire M'!$A:$A,0)-1,MATCH("poids",'Inventaire M'!#REF!,0))),"Sell",INDEX('Inventaire M'!$A$2:$AD$9319,MATCH(R466,'Inventaire M'!$A:$A,0)-1,MATCH("poids",'Inventaire M'!#REF!,0))))</f>
        <v/>
      </c>
      <c r="AC466" s="175"/>
      <c r="AD466" s="157" t="str">
        <f t="shared" si="48"/>
        <v>0</v>
      </c>
      <c r="AE466" s="98" t="str">
        <f t="shared" si="49"/>
        <v/>
      </c>
      <c r="AF466" s="80" t="str">
        <f t="shared" si="50"/>
        <v>-</v>
      </c>
    </row>
    <row r="467" spans="2:32" outlineLevel="1">
      <c r="B467" s="175" t="str">
        <f>IF(OR('Inventaire M'!D240="Dispo/Liquidité Investie",'Inventaire M'!D240="Option/Future",'Inventaire M'!D240="TCN",'Inventaire M'!D240=""),"-",'Inventaire M'!A240)</f>
        <v>-</v>
      </c>
      <c r="C467" s="175" t="str">
        <f>IF(OR('Inventaire M'!D240="Dispo/Liquidité Investie",'Inventaire M'!D240="Option/Future",'Inventaire M'!D240="TCN",'Inventaire M'!D240=""),"-",'Inventaire M'!B240)</f>
        <v>-</v>
      </c>
      <c r="D467" s="175"/>
      <c r="E467" s="175" t="str">
        <f>IF(B467="-","",INDEX('Inventaire M'!$A$2:$AW$9305,MATCH(B467,'Inventaire M'!$A:$A,0)-1,MATCH("Cours EUR",'Inventaire M'!#REF!,0)))</f>
        <v/>
      </c>
      <c r="F467" s="175" t="str">
        <f>IF(B467="-","",IF(ISERROR(INDEX('Inventaire M-1'!$A$2:$AZ$9320,MATCH(B467,'Inventaire M-1'!$A:$A,0)-1,MATCH("Cours EUR",'Inventaire M-1'!#REF!,0))),"Buy",INDEX('Inventaire M-1'!$A$2:$AZ$9320,MATCH(B467,'Inventaire M-1'!$A:$A,0)-1,MATCH("Cours EUR",'Inventaire M-1'!#REF!,0))))</f>
        <v/>
      </c>
      <c r="G467" s="175"/>
      <c r="H467" s="156" t="str">
        <f>IF(B467="-","",INDEX('Inventaire M'!$A$2:$AW$9305,MATCH(B467,'Inventaire M'!$A:$A,0)-1,MATCH("quantite",'Inventaire M'!#REF!,0)))</f>
        <v/>
      </c>
      <c r="I467" s="156" t="str">
        <f>IF(C467="-","",IF(ISERROR(INDEX('Inventaire M-1'!$A$2:$AZ$9320,MATCH(B467,'Inventaire M-1'!$A:$A,0)-1,MATCH("quantite",'Inventaire M-1'!#REF!,0))),"Buy",INDEX('Inventaire M-1'!$A$2:$AZ$9320,MATCH(B467,'Inventaire M-1'!$A:$A,0)-1,MATCH("quantite",'Inventaire M-1'!#REF!,0))))</f>
        <v/>
      </c>
      <c r="J467" s="175"/>
      <c r="K467" s="155" t="str">
        <f>IF(B467="-","",INDEX('Inventaire M'!$A$2:$AW$9305,MATCH(B467,'Inventaire M'!$A:$A,0)-1,MATCH("poids",'Inventaire M'!#REF!,0)))</f>
        <v/>
      </c>
      <c r="L467" s="155" t="str">
        <f>IF(B467="-","",IF(ISERROR(INDEX('Inventaire M-1'!$A$2:$AZ$9320,MATCH(B467,'Inventaire M-1'!$A:$A,0)-1,MATCH("poids",'Inventaire M-1'!#REF!,0))),"Buy",INDEX('Inventaire M-1'!$A$2:$AZ$9320,MATCH(B467,'Inventaire M-1'!$A:$A,0)-1,MATCH("poids",'Inventaire M-1'!#REF!,0))))</f>
        <v/>
      </c>
      <c r="M467" s="175"/>
      <c r="N467" s="157" t="str">
        <f t="shared" si="51"/>
        <v>0</v>
      </c>
      <c r="O467" s="98" t="str">
        <f t="shared" si="52"/>
        <v/>
      </c>
      <c r="P467" s="80" t="str">
        <f t="shared" si="53"/>
        <v>-</v>
      </c>
      <c r="Q467" s="75">
        <v>4.43E-8</v>
      </c>
      <c r="R467" s="175" t="str">
        <f>IF(OR('Inventaire M-1'!D219="Dispo/Liquidité Investie",'Inventaire M-1'!D219="Option/Future",'Inventaire M-1'!D219="TCN",'Inventaire M-1'!D219=""),"-",'Inventaire M-1'!A219)</f>
        <v>-</v>
      </c>
      <c r="S467" s="175" t="str">
        <f>IF(OR('Inventaire M-1'!D219="Dispo/Liquidité Investie",'Inventaire M-1'!D219="Option/Future",'Inventaire M-1'!D219="TCN",'Inventaire M-1'!D219=""),"-",'Inventaire M-1'!B219)</f>
        <v>-</v>
      </c>
      <c r="T467" s="175"/>
      <c r="U467" s="175" t="str">
        <f>IF(R467="-","",INDEX('Inventaire M-1'!$A$2:$AG$9334,MATCH(R467,'Inventaire M-1'!$A:$A,0)-1,MATCH("Cours EUR",'Inventaire M-1'!#REF!,0)))</f>
        <v/>
      </c>
      <c r="V467" s="175" t="str">
        <f>IF(R467="-","",IF(ISERROR(INDEX('Inventaire M'!$A$2:$AD$9319,MATCH(R467,'Inventaire M'!$A:$A,0)-1,MATCH("Cours EUR",'Inventaire M'!#REF!,0))),"Sell",INDEX('Inventaire M'!$A$2:$AD$9319,MATCH(R467,'Inventaire M'!$A:$A,0)-1,MATCH("Cours EUR",'Inventaire M'!#REF!,0))))</f>
        <v/>
      </c>
      <c r="W467" s="175"/>
      <c r="X467" s="156" t="str">
        <f>IF(R467="-","",INDEX('Inventaire M-1'!$A$2:$AG$9334,MATCH(R467,'Inventaire M-1'!$A:$A,0)-1,MATCH("quantite",'Inventaire M-1'!#REF!,0)))</f>
        <v/>
      </c>
      <c r="Y467" s="156" t="str">
        <f>IF(S467="-","",IF(ISERROR(INDEX('Inventaire M'!$A$2:$AD$9319,MATCH(R467,'Inventaire M'!$A:$A,0)-1,MATCH("quantite",'Inventaire M'!#REF!,0))),"Sell",INDEX('Inventaire M'!$A$2:$AD$9319,MATCH(R467,'Inventaire M'!$A:$A,0)-1,MATCH("quantite",'Inventaire M'!#REF!,0))))</f>
        <v/>
      </c>
      <c r="Z467" s="175"/>
      <c r="AA467" s="155" t="str">
        <f>IF(R467="-","",INDEX('Inventaire M-1'!$A$2:$AG$9334,MATCH(R467,'Inventaire M-1'!$A:$A,0)-1,MATCH("poids",'Inventaire M-1'!#REF!,0)))</f>
        <v/>
      </c>
      <c r="AB467" s="155" t="str">
        <f>IF(R467="-","",IF(ISERROR(INDEX('Inventaire M'!$A$2:$AD$9319,MATCH(R467,'Inventaire M'!$A:$A,0)-1,MATCH("poids",'Inventaire M'!#REF!,0))),"Sell",INDEX('Inventaire M'!$A$2:$AD$9319,MATCH(R467,'Inventaire M'!$A:$A,0)-1,MATCH("poids",'Inventaire M'!#REF!,0))))</f>
        <v/>
      </c>
      <c r="AC467" s="175"/>
      <c r="AD467" s="157" t="str">
        <f t="shared" si="48"/>
        <v>0</v>
      </c>
      <c r="AE467" s="98" t="str">
        <f t="shared" si="49"/>
        <v/>
      </c>
      <c r="AF467" s="80" t="str">
        <f t="shared" si="50"/>
        <v>-</v>
      </c>
    </row>
    <row r="468" spans="2:32" outlineLevel="1">
      <c r="B468" s="175" t="str">
        <f>IF(OR('Inventaire M'!D241="Dispo/Liquidité Investie",'Inventaire M'!D241="Option/Future",'Inventaire M'!D241="TCN",'Inventaire M'!D241=""),"-",'Inventaire M'!A241)</f>
        <v>-</v>
      </c>
      <c r="C468" s="175" t="str">
        <f>IF(OR('Inventaire M'!D241="Dispo/Liquidité Investie",'Inventaire M'!D241="Option/Future",'Inventaire M'!D241="TCN",'Inventaire M'!D241=""),"-",'Inventaire M'!B241)</f>
        <v>-</v>
      </c>
      <c r="D468" s="175"/>
      <c r="E468" s="175" t="str">
        <f>IF(B468="-","",INDEX('Inventaire M'!$A$2:$AW$9305,MATCH(B468,'Inventaire M'!$A:$A,0)-1,MATCH("Cours EUR",'Inventaire M'!#REF!,0)))</f>
        <v/>
      </c>
      <c r="F468" s="175" t="str">
        <f>IF(B468="-","",IF(ISERROR(INDEX('Inventaire M-1'!$A$2:$AZ$9320,MATCH(B468,'Inventaire M-1'!$A:$A,0)-1,MATCH("Cours EUR",'Inventaire M-1'!#REF!,0))),"Buy",INDEX('Inventaire M-1'!$A$2:$AZ$9320,MATCH(B468,'Inventaire M-1'!$A:$A,0)-1,MATCH("Cours EUR",'Inventaire M-1'!#REF!,0))))</f>
        <v/>
      </c>
      <c r="G468" s="175"/>
      <c r="H468" s="156" t="str">
        <f>IF(B468="-","",INDEX('Inventaire M'!$A$2:$AW$9305,MATCH(B468,'Inventaire M'!$A:$A,0)-1,MATCH("quantite",'Inventaire M'!#REF!,0)))</f>
        <v/>
      </c>
      <c r="I468" s="156" t="str">
        <f>IF(C468="-","",IF(ISERROR(INDEX('Inventaire M-1'!$A$2:$AZ$9320,MATCH(B468,'Inventaire M-1'!$A:$A,0)-1,MATCH("quantite",'Inventaire M-1'!#REF!,0))),"Buy",INDEX('Inventaire M-1'!$A$2:$AZ$9320,MATCH(B468,'Inventaire M-1'!$A:$A,0)-1,MATCH("quantite",'Inventaire M-1'!#REF!,0))))</f>
        <v/>
      </c>
      <c r="J468" s="175"/>
      <c r="K468" s="155" t="str">
        <f>IF(B468="-","",INDEX('Inventaire M'!$A$2:$AW$9305,MATCH(B468,'Inventaire M'!$A:$A,0)-1,MATCH("poids",'Inventaire M'!#REF!,0)))</f>
        <v/>
      </c>
      <c r="L468" s="155" t="str">
        <f>IF(B468="-","",IF(ISERROR(INDEX('Inventaire M-1'!$A$2:$AZ$9320,MATCH(B468,'Inventaire M-1'!$A:$A,0)-1,MATCH("poids",'Inventaire M-1'!#REF!,0))),"Buy",INDEX('Inventaire M-1'!$A$2:$AZ$9320,MATCH(B468,'Inventaire M-1'!$A:$A,0)-1,MATCH("poids",'Inventaire M-1'!#REF!,0))))</f>
        <v/>
      </c>
      <c r="M468" s="175"/>
      <c r="N468" s="157" t="str">
        <f t="shared" si="51"/>
        <v>0</v>
      </c>
      <c r="O468" s="98" t="str">
        <f t="shared" si="52"/>
        <v/>
      </c>
      <c r="P468" s="80" t="str">
        <f t="shared" si="53"/>
        <v>-</v>
      </c>
      <c r="Q468" s="75">
        <v>4.4400000000000001E-8</v>
      </c>
      <c r="R468" s="175" t="str">
        <f>IF(OR('Inventaire M-1'!D220="Dispo/Liquidité Investie",'Inventaire M-1'!D220="Option/Future",'Inventaire M-1'!D220="TCN",'Inventaire M-1'!D220=""),"-",'Inventaire M-1'!A220)</f>
        <v>-</v>
      </c>
      <c r="S468" s="175" t="str">
        <f>IF(OR('Inventaire M-1'!D220="Dispo/Liquidité Investie",'Inventaire M-1'!D220="Option/Future",'Inventaire M-1'!D220="TCN",'Inventaire M-1'!D220=""),"-",'Inventaire M-1'!B220)</f>
        <v>-</v>
      </c>
      <c r="T468" s="175"/>
      <c r="U468" s="175" t="str">
        <f>IF(R468="-","",INDEX('Inventaire M-1'!$A$2:$AG$9334,MATCH(R468,'Inventaire M-1'!$A:$A,0)-1,MATCH("Cours EUR",'Inventaire M-1'!#REF!,0)))</f>
        <v/>
      </c>
      <c r="V468" s="175" t="str">
        <f>IF(R468="-","",IF(ISERROR(INDEX('Inventaire M'!$A$2:$AD$9319,MATCH(R468,'Inventaire M'!$A:$A,0)-1,MATCH("Cours EUR",'Inventaire M'!#REF!,0))),"Sell",INDEX('Inventaire M'!$A$2:$AD$9319,MATCH(R468,'Inventaire M'!$A:$A,0)-1,MATCH("Cours EUR",'Inventaire M'!#REF!,0))))</f>
        <v/>
      </c>
      <c r="W468" s="175"/>
      <c r="X468" s="156" t="str">
        <f>IF(R468="-","",INDEX('Inventaire M-1'!$A$2:$AG$9334,MATCH(R468,'Inventaire M-1'!$A:$A,0)-1,MATCH("quantite",'Inventaire M-1'!#REF!,0)))</f>
        <v/>
      </c>
      <c r="Y468" s="156" t="str">
        <f>IF(S468="-","",IF(ISERROR(INDEX('Inventaire M'!$A$2:$AD$9319,MATCH(R468,'Inventaire M'!$A:$A,0)-1,MATCH("quantite",'Inventaire M'!#REF!,0))),"Sell",INDEX('Inventaire M'!$A$2:$AD$9319,MATCH(R468,'Inventaire M'!$A:$A,0)-1,MATCH("quantite",'Inventaire M'!#REF!,0))))</f>
        <v/>
      </c>
      <c r="Z468" s="175"/>
      <c r="AA468" s="155" t="str">
        <f>IF(R468="-","",INDEX('Inventaire M-1'!$A$2:$AG$9334,MATCH(R468,'Inventaire M-1'!$A:$A,0)-1,MATCH("poids",'Inventaire M-1'!#REF!,0)))</f>
        <v/>
      </c>
      <c r="AB468" s="155" t="str">
        <f>IF(R468="-","",IF(ISERROR(INDEX('Inventaire M'!$A$2:$AD$9319,MATCH(R468,'Inventaire M'!$A:$A,0)-1,MATCH("poids",'Inventaire M'!#REF!,0))),"Sell",INDEX('Inventaire M'!$A$2:$AD$9319,MATCH(R468,'Inventaire M'!$A:$A,0)-1,MATCH("poids",'Inventaire M'!#REF!,0))))</f>
        <v/>
      </c>
      <c r="AC468" s="175"/>
      <c r="AD468" s="157" t="str">
        <f t="shared" si="48"/>
        <v>0</v>
      </c>
      <c r="AE468" s="98" t="str">
        <f t="shared" si="49"/>
        <v/>
      </c>
      <c r="AF468" s="80" t="str">
        <f t="shared" si="50"/>
        <v>-</v>
      </c>
    </row>
    <row r="469" spans="2:32" outlineLevel="1">
      <c r="B469" s="175" t="str">
        <f>IF(OR('Inventaire M'!D242="Dispo/Liquidité Investie",'Inventaire M'!D242="Option/Future",'Inventaire M'!D242="TCN",'Inventaire M'!D242=""),"-",'Inventaire M'!A242)</f>
        <v>-</v>
      </c>
      <c r="C469" s="175" t="str">
        <f>IF(OR('Inventaire M'!D242="Dispo/Liquidité Investie",'Inventaire M'!D242="Option/Future",'Inventaire M'!D242="TCN",'Inventaire M'!D242=""),"-",'Inventaire M'!B242)</f>
        <v>-</v>
      </c>
      <c r="D469" s="175"/>
      <c r="E469" s="175" t="str">
        <f>IF(B469="-","",INDEX('Inventaire M'!$A$2:$AW$9305,MATCH(B469,'Inventaire M'!$A:$A,0)-1,MATCH("Cours EUR",'Inventaire M'!#REF!,0)))</f>
        <v/>
      </c>
      <c r="F469" s="175" t="str">
        <f>IF(B469="-","",IF(ISERROR(INDEX('Inventaire M-1'!$A$2:$AZ$9320,MATCH(B469,'Inventaire M-1'!$A:$A,0)-1,MATCH("Cours EUR",'Inventaire M-1'!#REF!,0))),"Buy",INDEX('Inventaire M-1'!$A$2:$AZ$9320,MATCH(B469,'Inventaire M-1'!$A:$A,0)-1,MATCH("Cours EUR",'Inventaire M-1'!#REF!,0))))</f>
        <v/>
      </c>
      <c r="G469" s="175"/>
      <c r="H469" s="156" t="str">
        <f>IF(B469="-","",INDEX('Inventaire M'!$A$2:$AW$9305,MATCH(B469,'Inventaire M'!$A:$A,0)-1,MATCH("quantite",'Inventaire M'!#REF!,0)))</f>
        <v/>
      </c>
      <c r="I469" s="156" t="str">
        <f>IF(C469="-","",IF(ISERROR(INDEX('Inventaire M-1'!$A$2:$AZ$9320,MATCH(B469,'Inventaire M-1'!$A:$A,0)-1,MATCH("quantite",'Inventaire M-1'!#REF!,0))),"Buy",INDEX('Inventaire M-1'!$A$2:$AZ$9320,MATCH(B469,'Inventaire M-1'!$A:$A,0)-1,MATCH("quantite",'Inventaire M-1'!#REF!,0))))</f>
        <v/>
      </c>
      <c r="J469" s="175"/>
      <c r="K469" s="155" t="str">
        <f>IF(B469="-","",INDEX('Inventaire M'!$A$2:$AW$9305,MATCH(B469,'Inventaire M'!$A:$A,0)-1,MATCH("poids",'Inventaire M'!#REF!,0)))</f>
        <v/>
      </c>
      <c r="L469" s="155" t="str">
        <f>IF(B469="-","",IF(ISERROR(INDEX('Inventaire M-1'!$A$2:$AZ$9320,MATCH(B469,'Inventaire M-1'!$A:$A,0)-1,MATCH("poids",'Inventaire M-1'!#REF!,0))),"Buy",INDEX('Inventaire M-1'!$A$2:$AZ$9320,MATCH(B469,'Inventaire M-1'!$A:$A,0)-1,MATCH("poids",'Inventaire M-1'!#REF!,0))))</f>
        <v/>
      </c>
      <c r="M469" s="175"/>
      <c r="N469" s="157" t="str">
        <f t="shared" si="51"/>
        <v>0</v>
      </c>
      <c r="O469" s="98" t="str">
        <f t="shared" si="52"/>
        <v/>
      </c>
      <c r="P469" s="80" t="str">
        <f t="shared" si="53"/>
        <v>-</v>
      </c>
      <c r="Q469" s="75">
        <v>4.4500000000000001E-8</v>
      </c>
      <c r="R469" s="175" t="str">
        <f>IF(OR('Inventaire M-1'!D221="Dispo/Liquidité Investie",'Inventaire M-1'!D221="Option/Future",'Inventaire M-1'!D221="TCN",'Inventaire M-1'!D221=""),"-",'Inventaire M-1'!A221)</f>
        <v>-</v>
      </c>
      <c r="S469" s="175" t="str">
        <f>IF(OR('Inventaire M-1'!D221="Dispo/Liquidité Investie",'Inventaire M-1'!D221="Option/Future",'Inventaire M-1'!D221="TCN",'Inventaire M-1'!D221=""),"-",'Inventaire M-1'!B221)</f>
        <v>-</v>
      </c>
      <c r="T469" s="175"/>
      <c r="U469" s="175" t="str">
        <f>IF(R469="-","",INDEX('Inventaire M-1'!$A$2:$AG$9334,MATCH(R469,'Inventaire M-1'!$A:$A,0)-1,MATCH("Cours EUR",'Inventaire M-1'!#REF!,0)))</f>
        <v/>
      </c>
      <c r="V469" s="175" t="str">
        <f>IF(R469="-","",IF(ISERROR(INDEX('Inventaire M'!$A$2:$AD$9319,MATCH(R469,'Inventaire M'!$A:$A,0)-1,MATCH("Cours EUR",'Inventaire M'!#REF!,0))),"Sell",INDEX('Inventaire M'!$A$2:$AD$9319,MATCH(R469,'Inventaire M'!$A:$A,0)-1,MATCH("Cours EUR",'Inventaire M'!#REF!,0))))</f>
        <v/>
      </c>
      <c r="W469" s="175"/>
      <c r="X469" s="156" t="str">
        <f>IF(R469="-","",INDEX('Inventaire M-1'!$A$2:$AG$9334,MATCH(R469,'Inventaire M-1'!$A:$A,0)-1,MATCH("quantite",'Inventaire M-1'!#REF!,0)))</f>
        <v/>
      </c>
      <c r="Y469" s="156" t="str">
        <f>IF(S469="-","",IF(ISERROR(INDEX('Inventaire M'!$A$2:$AD$9319,MATCH(R469,'Inventaire M'!$A:$A,0)-1,MATCH("quantite",'Inventaire M'!#REF!,0))),"Sell",INDEX('Inventaire M'!$A$2:$AD$9319,MATCH(R469,'Inventaire M'!$A:$A,0)-1,MATCH("quantite",'Inventaire M'!#REF!,0))))</f>
        <v/>
      </c>
      <c r="Z469" s="175"/>
      <c r="AA469" s="155" t="str">
        <f>IF(R469="-","",INDEX('Inventaire M-1'!$A$2:$AG$9334,MATCH(R469,'Inventaire M-1'!$A:$A,0)-1,MATCH("poids",'Inventaire M-1'!#REF!,0)))</f>
        <v/>
      </c>
      <c r="AB469" s="155" t="str">
        <f>IF(R469="-","",IF(ISERROR(INDEX('Inventaire M'!$A$2:$AD$9319,MATCH(R469,'Inventaire M'!$A:$A,0)-1,MATCH("poids",'Inventaire M'!#REF!,0))),"Sell",INDEX('Inventaire M'!$A$2:$AD$9319,MATCH(R469,'Inventaire M'!$A:$A,0)-1,MATCH("poids",'Inventaire M'!#REF!,0))))</f>
        <v/>
      </c>
      <c r="AC469" s="175"/>
      <c r="AD469" s="157" t="str">
        <f t="shared" si="48"/>
        <v>0</v>
      </c>
      <c r="AE469" s="98" t="str">
        <f t="shared" si="49"/>
        <v/>
      </c>
      <c r="AF469" s="80" t="str">
        <f t="shared" si="50"/>
        <v>-</v>
      </c>
    </row>
    <row r="470" spans="2:32" outlineLevel="1">
      <c r="B470" s="175" t="str">
        <f>IF(OR('Inventaire M'!D243="Dispo/Liquidité Investie",'Inventaire M'!D243="Option/Future",'Inventaire M'!D243="TCN",'Inventaire M'!D243=""),"-",'Inventaire M'!A243)</f>
        <v>-</v>
      </c>
      <c r="C470" s="175" t="str">
        <f>IF(OR('Inventaire M'!D243="Dispo/Liquidité Investie",'Inventaire M'!D243="Option/Future",'Inventaire M'!D243="TCN",'Inventaire M'!D243=""),"-",'Inventaire M'!B243)</f>
        <v>-</v>
      </c>
      <c r="D470" s="175"/>
      <c r="E470" s="175" t="str">
        <f>IF(B470="-","",INDEX('Inventaire M'!$A$2:$AW$9305,MATCH(B470,'Inventaire M'!$A:$A,0)-1,MATCH("Cours EUR",'Inventaire M'!#REF!,0)))</f>
        <v/>
      </c>
      <c r="F470" s="175" t="str">
        <f>IF(B470="-","",IF(ISERROR(INDEX('Inventaire M-1'!$A$2:$AZ$9320,MATCH(B470,'Inventaire M-1'!$A:$A,0)-1,MATCH("Cours EUR",'Inventaire M-1'!#REF!,0))),"Buy",INDEX('Inventaire M-1'!$A$2:$AZ$9320,MATCH(B470,'Inventaire M-1'!$A:$A,0)-1,MATCH("Cours EUR",'Inventaire M-1'!#REF!,0))))</f>
        <v/>
      </c>
      <c r="G470" s="175"/>
      <c r="H470" s="156" t="str">
        <f>IF(B470="-","",INDEX('Inventaire M'!$A$2:$AW$9305,MATCH(B470,'Inventaire M'!$A:$A,0)-1,MATCH("quantite",'Inventaire M'!#REF!,0)))</f>
        <v/>
      </c>
      <c r="I470" s="156" t="str">
        <f>IF(C470="-","",IF(ISERROR(INDEX('Inventaire M-1'!$A$2:$AZ$9320,MATCH(B470,'Inventaire M-1'!$A:$A,0)-1,MATCH("quantite",'Inventaire M-1'!#REF!,0))),"Buy",INDEX('Inventaire M-1'!$A$2:$AZ$9320,MATCH(B470,'Inventaire M-1'!$A:$A,0)-1,MATCH("quantite",'Inventaire M-1'!#REF!,0))))</f>
        <v/>
      </c>
      <c r="J470" s="175"/>
      <c r="K470" s="155" t="str">
        <f>IF(B470="-","",INDEX('Inventaire M'!$A$2:$AW$9305,MATCH(B470,'Inventaire M'!$A:$A,0)-1,MATCH("poids",'Inventaire M'!#REF!,0)))</f>
        <v/>
      </c>
      <c r="L470" s="155" t="str">
        <f>IF(B470="-","",IF(ISERROR(INDEX('Inventaire M-1'!$A$2:$AZ$9320,MATCH(B470,'Inventaire M-1'!$A:$A,0)-1,MATCH("poids",'Inventaire M-1'!#REF!,0))),"Buy",INDEX('Inventaire M-1'!$A$2:$AZ$9320,MATCH(B470,'Inventaire M-1'!$A:$A,0)-1,MATCH("poids",'Inventaire M-1'!#REF!,0))))</f>
        <v/>
      </c>
      <c r="M470" s="175"/>
      <c r="N470" s="157" t="str">
        <f t="shared" si="51"/>
        <v>0</v>
      </c>
      <c r="O470" s="98" t="str">
        <f t="shared" si="52"/>
        <v/>
      </c>
      <c r="P470" s="80" t="str">
        <f t="shared" si="53"/>
        <v>-</v>
      </c>
      <c r="Q470" s="75">
        <v>4.4600000000000002E-8</v>
      </c>
      <c r="R470" s="175" t="str">
        <f>IF(OR('Inventaire M-1'!D222="Dispo/Liquidité Investie",'Inventaire M-1'!D222="Option/Future",'Inventaire M-1'!D222="TCN",'Inventaire M-1'!D222=""),"-",'Inventaire M-1'!A222)</f>
        <v>-</v>
      </c>
      <c r="S470" s="175" t="str">
        <f>IF(OR('Inventaire M-1'!D222="Dispo/Liquidité Investie",'Inventaire M-1'!D222="Option/Future",'Inventaire M-1'!D222="TCN",'Inventaire M-1'!D222=""),"-",'Inventaire M-1'!B222)</f>
        <v>-</v>
      </c>
      <c r="T470" s="175"/>
      <c r="U470" s="175" t="str">
        <f>IF(R470="-","",INDEX('Inventaire M-1'!$A$2:$AG$9334,MATCH(R470,'Inventaire M-1'!$A:$A,0)-1,MATCH("Cours EUR",'Inventaire M-1'!#REF!,0)))</f>
        <v/>
      </c>
      <c r="V470" s="175" t="str">
        <f>IF(R470="-","",IF(ISERROR(INDEX('Inventaire M'!$A$2:$AD$9319,MATCH(R470,'Inventaire M'!$A:$A,0)-1,MATCH("Cours EUR",'Inventaire M'!#REF!,0))),"Sell",INDEX('Inventaire M'!$A$2:$AD$9319,MATCH(R470,'Inventaire M'!$A:$A,0)-1,MATCH("Cours EUR",'Inventaire M'!#REF!,0))))</f>
        <v/>
      </c>
      <c r="W470" s="175"/>
      <c r="X470" s="156" t="str">
        <f>IF(R470="-","",INDEX('Inventaire M-1'!$A$2:$AG$9334,MATCH(R470,'Inventaire M-1'!$A:$A,0)-1,MATCH("quantite",'Inventaire M-1'!#REF!,0)))</f>
        <v/>
      </c>
      <c r="Y470" s="156" t="str">
        <f>IF(S470="-","",IF(ISERROR(INDEX('Inventaire M'!$A$2:$AD$9319,MATCH(R470,'Inventaire M'!$A:$A,0)-1,MATCH("quantite",'Inventaire M'!#REF!,0))),"Sell",INDEX('Inventaire M'!$A$2:$AD$9319,MATCH(R470,'Inventaire M'!$A:$A,0)-1,MATCH("quantite",'Inventaire M'!#REF!,0))))</f>
        <v/>
      </c>
      <c r="Z470" s="175"/>
      <c r="AA470" s="155" t="str">
        <f>IF(R470="-","",INDEX('Inventaire M-1'!$A$2:$AG$9334,MATCH(R470,'Inventaire M-1'!$A:$A,0)-1,MATCH("poids",'Inventaire M-1'!#REF!,0)))</f>
        <v/>
      </c>
      <c r="AB470" s="155" t="str">
        <f>IF(R470="-","",IF(ISERROR(INDEX('Inventaire M'!$A$2:$AD$9319,MATCH(R470,'Inventaire M'!$A:$A,0)-1,MATCH("poids",'Inventaire M'!#REF!,0))),"Sell",INDEX('Inventaire M'!$A$2:$AD$9319,MATCH(R470,'Inventaire M'!$A:$A,0)-1,MATCH("poids",'Inventaire M'!#REF!,0))))</f>
        <v/>
      </c>
      <c r="AC470" s="175"/>
      <c r="AD470" s="157" t="str">
        <f t="shared" si="48"/>
        <v>0</v>
      </c>
      <c r="AE470" s="98" t="str">
        <f t="shared" si="49"/>
        <v/>
      </c>
      <c r="AF470" s="80" t="str">
        <f t="shared" si="50"/>
        <v>-</v>
      </c>
    </row>
    <row r="471" spans="2:32" outlineLevel="1">
      <c r="B471" s="175" t="str">
        <f>IF(OR('Inventaire M'!D244="Dispo/Liquidité Investie",'Inventaire M'!D244="Option/Future",'Inventaire M'!D244="TCN",'Inventaire M'!D244=""),"-",'Inventaire M'!A244)</f>
        <v>-</v>
      </c>
      <c r="C471" s="175" t="str">
        <f>IF(OR('Inventaire M'!D244="Dispo/Liquidité Investie",'Inventaire M'!D244="Option/Future",'Inventaire M'!D244="TCN",'Inventaire M'!D244=""),"-",'Inventaire M'!B244)</f>
        <v>-</v>
      </c>
      <c r="D471" s="175"/>
      <c r="E471" s="175" t="str">
        <f>IF(B471="-","",INDEX('Inventaire M'!$A$2:$AW$9305,MATCH(B471,'Inventaire M'!$A:$A,0)-1,MATCH("Cours EUR",'Inventaire M'!#REF!,0)))</f>
        <v/>
      </c>
      <c r="F471" s="175" t="str">
        <f>IF(B471="-","",IF(ISERROR(INDEX('Inventaire M-1'!$A$2:$AZ$9320,MATCH(B471,'Inventaire M-1'!$A:$A,0)-1,MATCH("Cours EUR",'Inventaire M-1'!#REF!,0))),"Buy",INDEX('Inventaire M-1'!$A$2:$AZ$9320,MATCH(B471,'Inventaire M-1'!$A:$A,0)-1,MATCH("Cours EUR",'Inventaire M-1'!#REF!,0))))</f>
        <v/>
      </c>
      <c r="G471" s="175"/>
      <c r="H471" s="156" t="str">
        <f>IF(B471="-","",INDEX('Inventaire M'!$A$2:$AW$9305,MATCH(B471,'Inventaire M'!$A:$A,0)-1,MATCH("quantite",'Inventaire M'!#REF!,0)))</f>
        <v/>
      </c>
      <c r="I471" s="156" t="str">
        <f>IF(C471="-","",IF(ISERROR(INDEX('Inventaire M-1'!$A$2:$AZ$9320,MATCH(B471,'Inventaire M-1'!$A:$A,0)-1,MATCH("quantite",'Inventaire M-1'!#REF!,0))),"Buy",INDEX('Inventaire M-1'!$A$2:$AZ$9320,MATCH(B471,'Inventaire M-1'!$A:$A,0)-1,MATCH("quantite",'Inventaire M-1'!#REF!,0))))</f>
        <v/>
      </c>
      <c r="J471" s="175"/>
      <c r="K471" s="155" t="str">
        <f>IF(B471="-","",INDEX('Inventaire M'!$A$2:$AW$9305,MATCH(B471,'Inventaire M'!$A:$A,0)-1,MATCH("poids",'Inventaire M'!#REF!,0)))</f>
        <v/>
      </c>
      <c r="L471" s="155" t="str">
        <f>IF(B471="-","",IF(ISERROR(INDEX('Inventaire M-1'!$A$2:$AZ$9320,MATCH(B471,'Inventaire M-1'!$A:$A,0)-1,MATCH("poids",'Inventaire M-1'!#REF!,0))),"Buy",INDEX('Inventaire M-1'!$A$2:$AZ$9320,MATCH(B471,'Inventaire M-1'!$A:$A,0)-1,MATCH("poids",'Inventaire M-1'!#REF!,0))))</f>
        <v/>
      </c>
      <c r="M471" s="175"/>
      <c r="N471" s="157" t="str">
        <f t="shared" si="51"/>
        <v>0</v>
      </c>
      <c r="O471" s="98" t="str">
        <f t="shared" si="52"/>
        <v/>
      </c>
      <c r="P471" s="80" t="str">
        <f t="shared" si="53"/>
        <v>-</v>
      </c>
      <c r="Q471" s="75">
        <v>4.4700000000000003E-8</v>
      </c>
      <c r="R471" s="175" t="str">
        <f>IF(OR('Inventaire M-1'!D223="Dispo/Liquidité Investie",'Inventaire M-1'!D223="Option/Future",'Inventaire M-1'!D223="TCN",'Inventaire M-1'!D223=""),"-",'Inventaire M-1'!A223)</f>
        <v>-</v>
      </c>
      <c r="S471" s="175" t="str">
        <f>IF(OR('Inventaire M-1'!D223="Dispo/Liquidité Investie",'Inventaire M-1'!D223="Option/Future",'Inventaire M-1'!D223="TCN",'Inventaire M-1'!D223=""),"-",'Inventaire M-1'!B223)</f>
        <v>-</v>
      </c>
      <c r="T471" s="175"/>
      <c r="U471" s="175" t="str">
        <f>IF(R471="-","",INDEX('Inventaire M-1'!$A$2:$AG$9334,MATCH(R471,'Inventaire M-1'!$A:$A,0)-1,MATCH("Cours EUR",'Inventaire M-1'!#REF!,0)))</f>
        <v/>
      </c>
      <c r="V471" s="175" t="str">
        <f>IF(R471="-","",IF(ISERROR(INDEX('Inventaire M'!$A$2:$AD$9319,MATCH(R471,'Inventaire M'!$A:$A,0)-1,MATCH("Cours EUR",'Inventaire M'!#REF!,0))),"Sell",INDEX('Inventaire M'!$A$2:$AD$9319,MATCH(R471,'Inventaire M'!$A:$A,0)-1,MATCH("Cours EUR",'Inventaire M'!#REF!,0))))</f>
        <v/>
      </c>
      <c r="W471" s="175"/>
      <c r="X471" s="156" t="str">
        <f>IF(R471="-","",INDEX('Inventaire M-1'!$A$2:$AG$9334,MATCH(R471,'Inventaire M-1'!$A:$A,0)-1,MATCH("quantite",'Inventaire M-1'!#REF!,0)))</f>
        <v/>
      </c>
      <c r="Y471" s="156" t="str">
        <f>IF(S471="-","",IF(ISERROR(INDEX('Inventaire M'!$A$2:$AD$9319,MATCH(R471,'Inventaire M'!$A:$A,0)-1,MATCH("quantite",'Inventaire M'!#REF!,0))),"Sell",INDEX('Inventaire M'!$A$2:$AD$9319,MATCH(R471,'Inventaire M'!$A:$A,0)-1,MATCH("quantite",'Inventaire M'!#REF!,0))))</f>
        <v/>
      </c>
      <c r="Z471" s="175"/>
      <c r="AA471" s="155" t="str">
        <f>IF(R471="-","",INDEX('Inventaire M-1'!$A$2:$AG$9334,MATCH(R471,'Inventaire M-1'!$A:$A,0)-1,MATCH("poids",'Inventaire M-1'!#REF!,0)))</f>
        <v/>
      </c>
      <c r="AB471" s="155" t="str">
        <f>IF(R471="-","",IF(ISERROR(INDEX('Inventaire M'!$A$2:$AD$9319,MATCH(R471,'Inventaire M'!$A:$A,0)-1,MATCH("poids",'Inventaire M'!#REF!,0))),"Sell",INDEX('Inventaire M'!$A$2:$AD$9319,MATCH(R471,'Inventaire M'!$A:$A,0)-1,MATCH("poids",'Inventaire M'!#REF!,0))))</f>
        <v/>
      </c>
      <c r="AC471" s="175"/>
      <c r="AD471" s="157" t="str">
        <f t="shared" si="48"/>
        <v>0</v>
      </c>
      <c r="AE471" s="98" t="str">
        <f t="shared" si="49"/>
        <v/>
      </c>
      <c r="AF471" s="80" t="str">
        <f t="shared" si="50"/>
        <v>-</v>
      </c>
    </row>
    <row r="472" spans="2:32" outlineLevel="1">
      <c r="B472" s="175" t="str">
        <f>IF(OR('Inventaire M'!D245="Dispo/Liquidité Investie",'Inventaire M'!D245="Option/Future",'Inventaire M'!D245="TCN",'Inventaire M'!D245=""),"-",'Inventaire M'!A245)</f>
        <v>-</v>
      </c>
      <c r="C472" s="175" t="str">
        <f>IF(OR('Inventaire M'!D245="Dispo/Liquidité Investie",'Inventaire M'!D245="Option/Future",'Inventaire M'!D245="TCN",'Inventaire M'!D245=""),"-",'Inventaire M'!B245)</f>
        <v>-</v>
      </c>
      <c r="D472" s="175"/>
      <c r="E472" s="175" t="str">
        <f>IF(B472="-","",INDEX('Inventaire M'!$A$2:$AW$9305,MATCH(B472,'Inventaire M'!$A:$A,0)-1,MATCH("Cours EUR",'Inventaire M'!#REF!,0)))</f>
        <v/>
      </c>
      <c r="F472" s="175" t="str">
        <f>IF(B472="-","",IF(ISERROR(INDEX('Inventaire M-1'!$A$2:$AZ$9320,MATCH(B472,'Inventaire M-1'!$A:$A,0)-1,MATCH("Cours EUR",'Inventaire M-1'!#REF!,0))),"Buy",INDEX('Inventaire M-1'!$A$2:$AZ$9320,MATCH(B472,'Inventaire M-1'!$A:$A,0)-1,MATCH("Cours EUR",'Inventaire M-1'!#REF!,0))))</f>
        <v/>
      </c>
      <c r="G472" s="175"/>
      <c r="H472" s="156" t="str">
        <f>IF(B472="-","",INDEX('Inventaire M'!$A$2:$AW$9305,MATCH(B472,'Inventaire M'!$A:$A,0)-1,MATCH("quantite",'Inventaire M'!#REF!,0)))</f>
        <v/>
      </c>
      <c r="I472" s="156" t="str">
        <f>IF(C472="-","",IF(ISERROR(INDEX('Inventaire M-1'!$A$2:$AZ$9320,MATCH(B472,'Inventaire M-1'!$A:$A,0)-1,MATCH("quantite",'Inventaire M-1'!#REF!,0))),"Buy",INDEX('Inventaire M-1'!$A$2:$AZ$9320,MATCH(B472,'Inventaire M-1'!$A:$A,0)-1,MATCH("quantite",'Inventaire M-1'!#REF!,0))))</f>
        <v/>
      </c>
      <c r="J472" s="175"/>
      <c r="K472" s="155" t="str">
        <f>IF(B472="-","",INDEX('Inventaire M'!$A$2:$AW$9305,MATCH(B472,'Inventaire M'!$A:$A,0)-1,MATCH("poids",'Inventaire M'!#REF!,0)))</f>
        <v/>
      </c>
      <c r="L472" s="155" t="str">
        <f>IF(B472="-","",IF(ISERROR(INDEX('Inventaire M-1'!$A$2:$AZ$9320,MATCH(B472,'Inventaire M-1'!$A:$A,0)-1,MATCH("poids",'Inventaire M-1'!#REF!,0))),"Buy",INDEX('Inventaire M-1'!$A$2:$AZ$9320,MATCH(B472,'Inventaire M-1'!$A:$A,0)-1,MATCH("poids",'Inventaire M-1'!#REF!,0))))</f>
        <v/>
      </c>
      <c r="M472" s="175"/>
      <c r="N472" s="157" t="str">
        <f t="shared" si="51"/>
        <v>0</v>
      </c>
      <c r="O472" s="98" t="str">
        <f t="shared" si="52"/>
        <v/>
      </c>
      <c r="P472" s="80" t="str">
        <f t="shared" si="53"/>
        <v>-</v>
      </c>
      <c r="Q472" s="75">
        <v>4.4799999999999997E-8</v>
      </c>
      <c r="R472" s="175" t="str">
        <f>IF(OR('Inventaire M-1'!D224="Dispo/Liquidité Investie",'Inventaire M-1'!D224="Option/Future",'Inventaire M-1'!D224="TCN",'Inventaire M-1'!D224=""),"-",'Inventaire M-1'!A224)</f>
        <v>-</v>
      </c>
      <c r="S472" s="175" t="str">
        <f>IF(OR('Inventaire M-1'!D224="Dispo/Liquidité Investie",'Inventaire M-1'!D224="Option/Future",'Inventaire M-1'!D224="TCN",'Inventaire M-1'!D224=""),"-",'Inventaire M-1'!B224)</f>
        <v>-</v>
      </c>
      <c r="T472" s="175"/>
      <c r="U472" s="175" t="str">
        <f>IF(R472="-","",INDEX('Inventaire M-1'!$A$2:$AG$9334,MATCH(R472,'Inventaire M-1'!$A:$A,0)-1,MATCH("Cours EUR",'Inventaire M-1'!#REF!,0)))</f>
        <v/>
      </c>
      <c r="V472" s="175" t="str">
        <f>IF(R472="-","",IF(ISERROR(INDEX('Inventaire M'!$A$2:$AD$9319,MATCH(R472,'Inventaire M'!$A:$A,0)-1,MATCH("Cours EUR",'Inventaire M'!#REF!,0))),"Sell",INDEX('Inventaire M'!$A$2:$AD$9319,MATCH(R472,'Inventaire M'!$A:$A,0)-1,MATCH("Cours EUR",'Inventaire M'!#REF!,0))))</f>
        <v/>
      </c>
      <c r="W472" s="175"/>
      <c r="X472" s="156" t="str">
        <f>IF(R472="-","",INDEX('Inventaire M-1'!$A$2:$AG$9334,MATCH(R472,'Inventaire M-1'!$A:$A,0)-1,MATCH("quantite",'Inventaire M-1'!#REF!,0)))</f>
        <v/>
      </c>
      <c r="Y472" s="156" t="str">
        <f>IF(S472="-","",IF(ISERROR(INDEX('Inventaire M'!$A$2:$AD$9319,MATCH(R472,'Inventaire M'!$A:$A,0)-1,MATCH("quantite",'Inventaire M'!#REF!,0))),"Sell",INDEX('Inventaire M'!$A$2:$AD$9319,MATCH(R472,'Inventaire M'!$A:$A,0)-1,MATCH("quantite",'Inventaire M'!#REF!,0))))</f>
        <v/>
      </c>
      <c r="Z472" s="175"/>
      <c r="AA472" s="155" t="str">
        <f>IF(R472="-","",INDEX('Inventaire M-1'!$A$2:$AG$9334,MATCH(R472,'Inventaire M-1'!$A:$A,0)-1,MATCH("poids",'Inventaire M-1'!#REF!,0)))</f>
        <v/>
      </c>
      <c r="AB472" s="155" t="str">
        <f>IF(R472="-","",IF(ISERROR(INDEX('Inventaire M'!$A$2:$AD$9319,MATCH(R472,'Inventaire M'!$A:$A,0)-1,MATCH("poids",'Inventaire M'!#REF!,0))),"Sell",INDEX('Inventaire M'!$A$2:$AD$9319,MATCH(R472,'Inventaire M'!$A:$A,0)-1,MATCH("poids",'Inventaire M'!#REF!,0))))</f>
        <v/>
      </c>
      <c r="AC472" s="175"/>
      <c r="AD472" s="157" t="str">
        <f t="shared" si="48"/>
        <v>0</v>
      </c>
      <c r="AE472" s="98" t="str">
        <f t="shared" si="49"/>
        <v/>
      </c>
      <c r="AF472" s="80" t="str">
        <f t="shared" si="50"/>
        <v>-</v>
      </c>
    </row>
    <row r="473" spans="2:32" outlineLevel="1">
      <c r="B473" s="175" t="str">
        <f>IF(OR('Inventaire M'!D246="Dispo/Liquidité Investie",'Inventaire M'!D246="Option/Future",'Inventaire M'!D246="TCN",'Inventaire M'!D246=""),"-",'Inventaire M'!A246)</f>
        <v>-</v>
      </c>
      <c r="C473" s="175" t="str">
        <f>IF(OR('Inventaire M'!D246="Dispo/Liquidité Investie",'Inventaire M'!D246="Option/Future",'Inventaire M'!D246="TCN",'Inventaire M'!D246=""),"-",'Inventaire M'!B246)</f>
        <v>-</v>
      </c>
      <c r="D473" s="175"/>
      <c r="E473" s="175" t="str">
        <f>IF(B473="-","",INDEX('Inventaire M'!$A$2:$AW$9305,MATCH(B473,'Inventaire M'!$A:$A,0)-1,MATCH("Cours EUR",'Inventaire M'!#REF!,0)))</f>
        <v/>
      </c>
      <c r="F473" s="175" t="str">
        <f>IF(B473="-","",IF(ISERROR(INDEX('Inventaire M-1'!$A$2:$AZ$9320,MATCH(B473,'Inventaire M-1'!$A:$A,0)-1,MATCH("Cours EUR",'Inventaire M-1'!#REF!,0))),"Buy",INDEX('Inventaire M-1'!$A$2:$AZ$9320,MATCH(B473,'Inventaire M-1'!$A:$A,0)-1,MATCH("Cours EUR",'Inventaire M-1'!#REF!,0))))</f>
        <v/>
      </c>
      <c r="G473" s="175"/>
      <c r="H473" s="156" t="str">
        <f>IF(B473="-","",INDEX('Inventaire M'!$A$2:$AW$9305,MATCH(B473,'Inventaire M'!$A:$A,0)-1,MATCH("quantite",'Inventaire M'!#REF!,0)))</f>
        <v/>
      </c>
      <c r="I473" s="156" t="str">
        <f>IF(C473="-","",IF(ISERROR(INDEX('Inventaire M-1'!$A$2:$AZ$9320,MATCH(B473,'Inventaire M-1'!$A:$A,0)-1,MATCH("quantite",'Inventaire M-1'!#REF!,0))),"Buy",INDEX('Inventaire M-1'!$A$2:$AZ$9320,MATCH(B473,'Inventaire M-1'!$A:$A,0)-1,MATCH("quantite",'Inventaire M-1'!#REF!,0))))</f>
        <v/>
      </c>
      <c r="J473" s="175"/>
      <c r="K473" s="155" t="str">
        <f>IF(B473="-","",INDEX('Inventaire M'!$A$2:$AW$9305,MATCH(B473,'Inventaire M'!$A:$A,0)-1,MATCH("poids",'Inventaire M'!#REF!,0)))</f>
        <v/>
      </c>
      <c r="L473" s="155" t="str">
        <f>IF(B473="-","",IF(ISERROR(INDEX('Inventaire M-1'!$A$2:$AZ$9320,MATCH(B473,'Inventaire M-1'!$A:$A,0)-1,MATCH("poids",'Inventaire M-1'!#REF!,0))),"Buy",INDEX('Inventaire M-1'!$A$2:$AZ$9320,MATCH(B473,'Inventaire M-1'!$A:$A,0)-1,MATCH("poids",'Inventaire M-1'!#REF!,0))))</f>
        <v/>
      </c>
      <c r="M473" s="175"/>
      <c r="N473" s="157" t="str">
        <f t="shared" si="51"/>
        <v>0</v>
      </c>
      <c r="O473" s="98" t="str">
        <f t="shared" si="52"/>
        <v/>
      </c>
      <c r="P473" s="80" t="str">
        <f t="shared" si="53"/>
        <v>-</v>
      </c>
      <c r="Q473" s="75">
        <v>4.4899999999999998E-8</v>
      </c>
      <c r="R473" s="175" t="str">
        <f>IF(OR('Inventaire M-1'!D225="Dispo/Liquidité Investie",'Inventaire M-1'!D225="Option/Future",'Inventaire M-1'!D225="TCN",'Inventaire M-1'!D225=""),"-",'Inventaire M-1'!A225)</f>
        <v>-</v>
      </c>
      <c r="S473" s="175" t="str">
        <f>IF(OR('Inventaire M-1'!D225="Dispo/Liquidité Investie",'Inventaire M-1'!D225="Option/Future",'Inventaire M-1'!D225="TCN",'Inventaire M-1'!D225=""),"-",'Inventaire M-1'!B225)</f>
        <v>-</v>
      </c>
      <c r="T473" s="175"/>
      <c r="U473" s="175" t="str">
        <f>IF(R473="-","",INDEX('Inventaire M-1'!$A$2:$AG$9334,MATCH(R473,'Inventaire M-1'!$A:$A,0)-1,MATCH("Cours EUR",'Inventaire M-1'!#REF!,0)))</f>
        <v/>
      </c>
      <c r="V473" s="175" t="str">
        <f>IF(R473="-","",IF(ISERROR(INDEX('Inventaire M'!$A$2:$AD$9319,MATCH(R473,'Inventaire M'!$A:$A,0)-1,MATCH("Cours EUR",'Inventaire M'!#REF!,0))),"Sell",INDEX('Inventaire M'!$A$2:$AD$9319,MATCH(R473,'Inventaire M'!$A:$A,0)-1,MATCH("Cours EUR",'Inventaire M'!#REF!,0))))</f>
        <v/>
      </c>
      <c r="W473" s="175"/>
      <c r="X473" s="156" t="str">
        <f>IF(R473="-","",INDEX('Inventaire M-1'!$A$2:$AG$9334,MATCH(R473,'Inventaire M-1'!$A:$A,0)-1,MATCH("quantite",'Inventaire M-1'!#REF!,0)))</f>
        <v/>
      </c>
      <c r="Y473" s="156" t="str">
        <f>IF(S473="-","",IF(ISERROR(INDEX('Inventaire M'!$A$2:$AD$9319,MATCH(R473,'Inventaire M'!$A:$A,0)-1,MATCH("quantite",'Inventaire M'!#REF!,0))),"Sell",INDEX('Inventaire M'!$A$2:$AD$9319,MATCH(R473,'Inventaire M'!$A:$A,0)-1,MATCH("quantite",'Inventaire M'!#REF!,0))))</f>
        <v/>
      </c>
      <c r="Z473" s="175"/>
      <c r="AA473" s="155" t="str">
        <f>IF(R473="-","",INDEX('Inventaire M-1'!$A$2:$AG$9334,MATCH(R473,'Inventaire M-1'!$A:$A,0)-1,MATCH("poids",'Inventaire M-1'!#REF!,0)))</f>
        <v/>
      </c>
      <c r="AB473" s="155" t="str">
        <f>IF(R473="-","",IF(ISERROR(INDEX('Inventaire M'!$A$2:$AD$9319,MATCH(R473,'Inventaire M'!$A:$A,0)-1,MATCH("poids",'Inventaire M'!#REF!,0))),"Sell",INDEX('Inventaire M'!$A$2:$AD$9319,MATCH(R473,'Inventaire M'!$A:$A,0)-1,MATCH("poids",'Inventaire M'!#REF!,0))))</f>
        <v/>
      </c>
      <c r="AC473" s="175"/>
      <c r="AD473" s="157" t="str">
        <f t="shared" si="48"/>
        <v>0</v>
      </c>
      <c r="AE473" s="98" t="str">
        <f t="shared" si="49"/>
        <v/>
      </c>
      <c r="AF473" s="80" t="str">
        <f t="shared" si="50"/>
        <v>-</v>
      </c>
    </row>
    <row r="474" spans="2:32" outlineLevel="1">
      <c r="B474" s="175" t="str">
        <f>IF(OR('Inventaire M'!D247="Dispo/Liquidité Investie",'Inventaire M'!D247="Option/Future",'Inventaire M'!D247="TCN",'Inventaire M'!D247=""),"-",'Inventaire M'!A247)</f>
        <v>-</v>
      </c>
      <c r="C474" s="175" t="str">
        <f>IF(OR('Inventaire M'!D247="Dispo/Liquidité Investie",'Inventaire M'!D247="Option/Future",'Inventaire M'!D247="TCN",'Inventaire M'!D247=""),"-",'Inventaire M'!B247)</f>
        <v>-</v>
      </c>
      <c r="D474" s="175"/>
      <c r="E474" s="175" t="str">
        <f>IF(B474="-","",INDEX('Inventaire M'!$A$2:$AW$9305,MATCH(B474,'Inventaire M'!$A:$A,0)-1,MATCH("Cours EUR",'Inventaire M'!#REF!,0)))</f>
        <v/>
      </c>
      <c r="F474" s="175" t="str">
        <f>IF(B474="-","",IF(ISERROR(INDEX('Inventaire M-1'!$A$2:$AZ$9320,MATCH(B474,'Inventaire M-1'!$A:$A,0)-1,MATCH("Cours EUR",'Inventaire M-1'!#REF!,0))),"Buy",INDEX('Inventaire M-1'!$A$2:$AZ$9320,MATCH(B474,'Inventaire M-1'!$A:$A,0)-1,MATCH("Cours EUR",'Inventaire M-1'!#REF!,0))))</f>
        <v/>
      </c>
      <c r="G474" s="175"/>
      <c r="H474" s="156" t="str">
        <f>IF(B474="-","",INDEX('Inventaire M'!$A$2:$AW$9305,MATCH(B474,'Inventaire M'!$A:$A,0)-1,MATCH("quantite",'Inventaire M'!#REF!,0)))</f>
        <v/>
      </c>
      <c r="I474" s="156" t="str">
        <f>IF(C474="-","",IF(ISERROR(INDEX('Inventaire M-1'!$A$2:$AZ$9320,MATCH(B474,'Inventaire M-1'!$A:$A,0)-1,MATCH("quantite",'Inventaire M-1'!#REF!,0))),"Buy",INDEX('Inventaire M-1'!$A$2:$AZ$9320,MATCH(B474,'Inventaire M-1'!$A:$A,0)-1,MATCH("quantite",'Inventaire M-1'!#REF!,0))))</f>
        <v/>
      </c>
      <c r="J474" s="175"/>
      <c r="K474" s="155" t="str">
        <f>IF(B474="-","",INDEX('Inventaire M'!$A$2:$AW$9305,MATCH(B474,'Inventaire M'!$A:$A,0)-1,MATCH("poids",'Inventaire M'!#REF!,0)))</f>
        <v/>
      </c>
      <c r="L474" s="155" t="str">
        <f>IF(B474="-","",IF(ISERROR(INDEX('Inventaire M-1'!$A$2:$AZ$9320,MATCH(B474,'Inventaire M-1'!$A:$A,0)-1,MATCH("poids",'Inventaire M-1'!#REF!,0))),"Buy",INDEX('Inventaire M-1'!$A$2:$AZ$9320,MATCH(B474,'Inventaire M-1'!$A:$A,0)-1,MATCH("poids",'Inventaire M-1'!#REF!,0))))</f>
        <v/>
      </c>
      <c r="M474" s="175"/>
      <c r="N474" s="157" t="str">
        <f t="shared" si="51"/>
        <v>0</v>
      </c>
      <c r="O474" s="98" t="str">
        <f t="shared" ref="O474:O537" si="54">IFERROR(IF(N474&gt;0,IF(L474="Buy",K474,K474-L474)+Q474,""),"")</f>
        <v/>
      </c>
      <c r="P474" s="80" t="str">
        <f t="shared" si="53"/>
        <v>-</v>
      </c>
      <c r="Q474" s="75">
        <v>4.4999999999999999E-8</v>
      </c>
      <c r="R474" s="175" t="str">
        <f>IF(OR('Inventaire M-1'!D226="Dispo/Liquidité Investie",'Inventaire M-1'!D226="Option/Future",'Inventaire M-1'!D226="TCN",'Inventaire M-1'!D226=""),"-",'Inventaire M-1'!A226)</f>
        <v>-</v>
      </c>
      <c r="S474" s="175" t="str">
        <f>IF(OR('Inventaire M-1'!D226="Dispo/Liquidité Investie",'Inventaire M-1'!D226="Option/Future",'Inventaire M-1'!D226="TCN",'Inventaire M-1'!D226=""),"-",'Inventaire M-1'!B226)</f>
        <v>-</v>
      </c>
      <c r="T474" s="175"/>
      <c r="U474" s="175" t="str">
        <f>IF(R474="-","",INDEX('Inventaire M-1'!$A$2:$AG$9334,MATCH(R474,'Inventaire M-1'!$A:$A,0)-1,MATCH("Cours EUR",'Inventaire M-1'!#REF!,0)))</f>
        <v/>
      </c>
      <c r="V474" s="175" t="str">
        <f>IF(R474="-","",IF(ISERROR(INDEX('Inventaire M'!$A$2:$AD$9319,MATCH(R474,'Inventaire M'!$A:$A,0)-1,MATCH("Cours EUR",'Inventaire M'!#REF!,0))),"Sell",INDEX('Inventaire M'!$A$2:$AD$9319,MATCH(R474,'Inventaire M'!$A:$A,0)-1,MATCH("Cours EUR",'Inventaire M'!#REF!,0))))</f>
        <v/>
      </c>
      <c r="W474" s="175"/>
      <c r="X474" s="156" t="str">
        <f>IF(R474="-","",INDEX('Inventaire M-1'!$A$2:$AG$9334,MATCH(R474,'Inventaire M-1'!$A:$A,0)-1,MATCH("quantite",'Inventaire M-1'!#REF!,0)))</f>
        <v/>
      </c>
      <c r="Y474" s="156" t="str">
        <f>IF(S474="-","",IF(ISERROR(INDEX('Inventaire M'!$A$2:$AD$9319,MATCH(R474,'Inventaire M'!$A:$A,0)-1,MATCH("quantite",'Inventaire M'!#REF!,0))),"Sell",INDEX('Inventaire M'!$A$2:$AD$9319,MATCH(R474,'Inventaire M'!$A:$A,0)-1,MATCH("quantite",'Inventaire M'!#REF!,0))))</f>
        <v/>
      </c>
      <c r="Z474" s="175"/>
      <c r="AA474" s="155" t="str">
        <f>IF(R474="-","",INDEX('Inventaire M-1'!$A$2:$AG$9334,MATCH(R474,'Inventaire M-1'!$A:$A,0)-1,MATCH("poids",'Inventaire M-1'!#REF!,0)))</f>
        <v/>
      </c>
      <c r="AB474" s="155" t="str">
        <f>IF(R474="-","",IF(ISERROR(INDEX('Inventaire M'!$A$2:$AD$9319,MATCH(R474,'Inventaire M'!$A:$A,0)-1,MATCH("poids",'Inventaire M'!#REF!,0))),"Sell",INDEX('Inventaire M'!$A$2:$AD$9319,MATCH(R474,'Inventaire M'!$A:$A,0)-1,MATCH("poids",'Inventaire M'!#REF!,0))))</f>
        <v/>
      </c>
      <c r="AC474" s="175"/>
      <c r="AD474" s="157" t="str">
        <f t="shared" si="48"/>
        <v>0</v>
      </c>
      <c r="AE474" s="98" t="str">
        <f t="shared" si="49"/>
        <v/>
      </c>
      <c r="AF474" s="80" t="str">
        <f t="shared" si="50"/>
        <v>-</v>
      </c>
    </row>
    <row r="475" spans="2:32" outlineLevel="1">
      <c r="B475" s="175" t="str">
        <f>IF(OR('Inventaire M'!D248="Dispo/Liquidité Investie",'Inventaire M'!D248="Option/Future",'Inventaire M'!D248="TCN",'Inventaire M'!D248=""),"-",'Inventaire M'!A248)</f>
        <v>-</v>
      </c>
      <c r="C475" s="175" t="str">
        <f>IF(OR('Inventaire M'!D248="Dispo/Liquidité Investie",'Inventaire M'!D248="Option/Future",'Inventaire M'!D248="TCN",'Inventaire M'!D248=""),"-",'Inventaire M'!B248)</f>
        <v>-</v>
      </c>
      <c r="D475" s="175"/>
      <c r="E475" s="175" t="str">
        <f>IF(B475="-","",INDEX('Inventaire M'!$A$2:$AW$9305,MATCH(B475,'Inventaire M'!$A:$A,0)-1,MATCH("Cours EUR",'Inventaire M'!#REF!,0)))</f>
        <v/>
      </c>
      <c r="F475" s="175" t="str">
        <f>IF(B475="-","",IF(ISERROR(INDEX('Inventaire M-1'!$A$2:$AZ$9320,MATCH(B475,'Inventaire M-1'!$A:$A,0)-1,MATCH("Cours EUR",'Inventaire M-1'!#REF!,0))),"Buy",INDEX('Inventaire M-1'!$A$2:$AZ$9320,MATCH(B475,'Inventaire M-1'!$A:$A,0)-1,MATCH("Cours EUR",'Inventaire M-1'!#REF!,0))))</f>
        <v/>
      </c>
      <c r="G475" s="175"/>
      <c r="H475" s="156" t="str">
        <f>IF(B475="-","",INDEX('Inventaire M'!$A$2:$AW$9305,MATCH(B475,'Inventaire M'!$A:$A,0)-1,MATCH("quantite",'Inventaire M'!#REF!,0)))</f>
        <v/>
      </c>
      <c r="I475" s="156" t="str">
        <f>IF(C475="-","",IF(ISERROR(INDEX('Inventaire M-1'!$A$2:$AZ$9320,MATCH(B475,'Inventaire M-1'!$A:$A,0)-1,MATCH("quantite",'Inventaire M-1'!#REF!,0))),"Buy",INDEX('Inventaire M-1'!$A$2:$AZ$9320,MATCH(B475,'Inventaire M-1'!$A:$A,0)-1,MATCH("quantite",'Inventaire M-1'!#REF!,0))))</f>
        <v/>
      </c>
      <c r="J475" s="175"/>
      <c r="K475" s="155" t="str">
        <f>IF(B475="-","",INDEX('Inventaire M'!$A$2:$AW$9305,MATCH(B475,'Inventaire M'!$A:$A,0)-1,MATCH("poids",'Inventaire M'!#REF!,0)))</f>
        <v/>
      </c>
      <c r="L475" s="155" t="str">
        <f>IF(B475="-","",IF(ISERROR(INDEX('Inventaire M-1'!$A$2:$AZ$9320,MATCH(B475,'Inventaire M-1'!$A:$A,0)-1,MATCH("poids",'Inventaire M-1'!#REF!,0))),"Buy",INDEX('Inventaire M-1'!$A$2:$AZ$9320,MATCH(B475,'Inventaire M-1'!$A:$A,0)-1,MATCH("poids",'Inventaire M-1'!#REF!,0))))</f>
        <v/>
      </c>
      <c r="M475" s="175"/>
      <c r="N475" s="157" t="str">
        <f t="shared" si="51"/>
        <v>0</v>
      </c>
      <c r="O475" s="98" t="str">
        <f t="shared" si="54"/>
        <v/>
      </c>
      <c r="P475" s="80" t="str">
        <f t="shared" si="53"/>
        <v>-</v>
      </c>
      <c r="Q475" s="75">
        <v>4.51E-8</v>
      </c>
      <c r="R475" s="175" t="str">
        <f>IF(OR('Inventaire M-1'!D227="Dispo/Liquidité Investie",'Inventaire M-1'!D227="Option/Future",'Inventaire M-1'!D227="TCN",'Inventaire M-1'!D227=""),"-",'Inventaire M-1'!A227)</f>
        <v>-</v>
      </c>
      <c r="S475" s="175" t="str">
        <f>IF(OR('Inventaire M-1'!D227="Dispo/Liquidité Investie",'Inventaire M-1'!D227="Option/Future",'Inventaire M-1'!D227="TCN",'Inventaire M-1'!D227=""),"-",'Inventaire M-1'!B227)</f>
        <v>-</v>
      </c>
      <c r="T475" s="175"/>
      <c r="U475" s="175" t="str">
        <f>IF(R475="-","",INDEX('Inventaire M-1'!$A$2:$AG$9334,MATCH(R475,'Inventaire M-1'!$A:$A,0)-1,MATCH("Cours EUR",'Inventaire M-1'!#REF!,0)))</f>
        <v/>
      </c>
      <c r="V475" s="175" t="str">
        <f>IF(R475="-","",IF(ISERROR(INDEX('Inventaire M'!$A$2:$AD$9319,MATCH(R475,'Inventaire M'!$A:$A,0)-1,MATCH("Cours EUR",'Inventaire M'!#REF!,0))),"Sell",INDEX('Inventaire M'!$A$2:$AD$9319,MATCH(R475,'Inventaire M'!$A:$A,0)-1,MATCH("Cours EUR",'Inventaire M'!#REF!,0))))</f>
        <v/>
      </c>
      <c r="W475" s="175"/>
      <c r="X475" s="156" t="str">
        <f>IF(R475="-","",INDEX('Inventaire M-1'!$A$2:$AG$9334,MATCH(R475,'Inventaire M-1'!$A:$A,0)-1,MATCH("quantite",'Inventaire M-1'!#REF!,0)))</f>
        <v/>
      </c>
      <c r="Y475" s="156" t="str">
        <f>IF(S475="-","",IF(ISERROR(INDEX('Inventaire M'!$A$2:$AD$9319,MATCH(R475,'Inventaire M'!$A:$A,0)-1,MATCH("quantite",'Inventaire M'!#REF!,0))),"Sell",INDEX('Inventaire M'!$A$2:$AD$9319,MATCH(R475,'Inventaire M'!$A:$A,0)-1,MATCH("quantite",'Inventaire M'!#REF!,0))))</f>
        <v/>
      </c>
      <c r="Z475" s="175"/>
      <c r="AA475" s="155" t="str">
        <f>IF(R475="-","",INDEX('Inventaire M-1'!$A$2:$AG$9334,MATCH(R475,'Inventaire M-1'!$A:$A,0)-1,MATCH("poids",'Inventaire M-1'!#REF!,0)))</f>
        <v/>
      </c>
      <c r="AB475" s="155" t="str">
        <f>IF(R475="-","",IF(ISERROR(INDEX('Inventaire M'!$A$2:$AD$9319,MATCH(R475,'Inventaire M'!$A:$A,0)-1,MATCH("poids",'Inventaire M'!#REF!,0))),"Sell",INDEX('Inventaire M'!$A$2:$AD$9319,MATCH(R475,'Inventaire M'!$A:$A,0)-1,MATCH("poids",'Inventaire M'!#REF!,0))))</f>
        <v/>
      </c>
      <c r="AC475" s="175"/>
      <c r="AD475" s="157" t="str">
        <f t="shared" si="48"/>
        <v>0</v>
      </c>
      <c r="AE475" s="98" t="str">
        <f t="shared" si="49"/>
        <v/>
      </c>
      <c r="AF475" s="80" t="str">
        <f t="shared" si="50"/>
        <v>-</v>
      </c>
    </row>
    <row r="476" spans="2:32" outlineLevel="1">
      <c r="B476" s="175" t="str">
        <f>IF(OR('Inventaire M'!D249="Dispo/Liquidité Investie",'Inventaire M'!D249="Option/Future",'Inventaire M'!D249="TCN",'Inventaire M'!D249=""),"-",'Inventaire M'!A249)</f>
        <v>-</v>
      </c>
      <c r="C476" s="175" t="str">
        <f>IF(OR('Inventaire M'!D249="Dispo/Liquidité Investie",'Inventaire M'!D249="Option/Future",'Inventaire M'!D249="TCN",'Inventaire M'!D249=""),"-",'Inventaire M'!B249)</f>
        <v>-</v>
      </c>
      <c r="D476" s="175"/>
      <c r="E476" s="175" t="str">
        <f>IF(B476="-","",INDEX('Inventaire M'!$A$2:$AW$9305,MATCH(B476,'Inventaire M'!$A:$A,0)-1,MATCH("Cours EUR",'Inventaire M'!#REF!,0)))</f>
        <v/>
      </c>
      <c r="F476" s="175" t="str">
        <f>IF(B476="-","",IF(ISERROR(INDEX('Inventaire M-1'!$A$2:$AZ$9320,MATCH(B476,'Inventaire M-1'!$A:$A,0)-1,MATCH("Cours EUR",'Inventaire M-1'!#REF!,0))),"Buy",INDEX('Inventaire M-1'!$A$2:$AZ$9320,MATCH(B476,'Inventaire M-1'!$A:$A,0)-1,MATCH("Cours EUR",'Inventaire M-1'!#REF!,0))))</f>
        <v/>
      </c>
      <c r="G476" s="175"/>
      <c r="H476" s="156" t="str">
        <f>IF(B476="-","",INDEX('Inventaire M'!$A$2:$AW$9305,MATCH(B476,'Inventaire M'!$A:$A,0)-1,MATCH("quantite",'Inventaire M'!#REF!,0)))</f>
        <v/>
      </c>
      <c r="I476" s="156" t="str">
        <f>IF(C476="-","",IF(ISERROR(INDEX('Inventaire M-1'!$A$2:$AZ$9320,MATCH(B476,'Inventaire M-1'!$A:$A,0)-1,MATCH("quantite",'Inventaire M-1'!#REF!,0))),"Buy",INDEX('Inventaire M-1'!$A$2:$AZ$9320,MATCH(B476,'Inventaire M-1'!$A:$A,0)-1,MATCH("quantite",'Inventaire M-1'!#REF!,0))))</f>
        <v/>
      </c>
      <c r="J476" s="175"/>
      <c r="K476" s="155" t="str">
        <f>IF(B476="-","",INDEX('Inventaire M'!$A$2:$AW$9305,MATCH(B476,'Inventaire M'!$A:$A,0)-1,MATCH("poids",'Inventaire M'!#REF!,0)))</f>
        <v/>
      </c>
      <c r="L476" s="155" t="str">
        <f>IF(B476="-","",IF(ISERROR(INDEX('Inventaire M-1'!$A$2:$AZ$9320,MATCH(B476,'Inventaire M-1'!$A:$A,0)-1,MATCH("poids",'Inventaire M-1'!#REF!,0))),"Buy",INDEX('Inventaire M-1'!$A$2:$AZ$9320,MATCH(B476,'Inventaire M-1'!$A:$A,0)-1,MATCH("poids",'Inventaire M-1'!#REF!,0))))</f>
        <v/>
      </c>
      <c r="M476" s="175"/>
      <c r="N476" s="157" t="str">
        <f t="shared" ref="N476:N539" si="55">IFERROR(IF(I476="Buy",H476,H476-I476),"0")</f>
        <v>0</v>
      </c>
      <c r="O476" s="98" t="str">
        <f t="shared" si="54"/>
        <v/>
      </c>
      <c r="P476" s="80" t="str">
        <f t="shared" ref="P476:P539" si="56">C476</f>
        <v>-</v>
      </c>
      <c r="Q476" s="75">
        <v>4.5200000000000001E-8</v>
      </c>
      <c r="R476" s="175" t="str">
        <f>IF(OR('Inventaire M-1'!D228="Dispo/Liquidité Investie",'Inventaire M-1'!D228="Option/Future",'Inventaire M-1'!D228="TCN",'Inventaire M-1'!D228=""),"-",'Inventaire M-1'!A228)</f>
        <v>-</v>
      </c>
      <c r="S476" s="175" t="str">
        <f>IF(OR('Inventaire M-1'!D228="Dispo/Liquidité Investie",'Inventaire M-1'!D228="Option/Future",'Inventaire M-1'!D228="TCN",'Inventaire M-1'!D228=""),"-",'Inventaire M-1'!B228)</f>
        <v>-</v>
      </c>
      <c r="T476" s="175"/>
      <c r="U476" s="175" t="str">
        <f>IF(R476="-","",INDEX('Inventaire M-1'!$A$2:$AG$9334,MATCH(R476,'Inventaire M-1'!$A:$A,0)-1,MATCH("Cours EUR",'Inventaire M-1'!#REF!,0)))</f>
        <v/>
      </c>
      <c r="V476" s="175" t="str">
        <f>IF(R476="-","",IF(ISERROR(INDEX('Inventaire M'!$A$2:$AD$9319,MATCH(R476,'Inventaire M'!$A:$A,0)-1,MATCH("Cours EUR",'Inventaire M'!#REF!,0))),"Sell",INDEX('Inventaire M'!$A$2:$AD$9319,MATCH(R476,'Inventaire M'!$A:$A,0)-1,MATCH("Cours EUR",'Inventaire M'!#REF!,0))))</f>
        <v/>
      </c>
      <c r="W476" s="175"/>
      <c r="X476" s="156" t="str">
        <f>IF(R476="-","",INDEX('Inventaire M-1'!$A$2:$AG$9334,MATCH(R476,'Inventaire M-1'!$A:$A,0)-1,MATCH("quantite",'Inventaire M-1'!#REF!,0)))</f>
        <v/>
      </c>
      <c r="Y476" s="156" t="str">
        <f>IF(S476="-","",IF(ISERROR(INDEX('Inventaire M'!$A$2:$AD$9319,MATCH(R476,'Inventaire M'!$A:$A,0)-1,MATCH("quantite",'Inventaire M'!#REF!,0))),"Sell",INDEX('Inventaire M'!$A$2:$AD$9319,MATCH(R476,'Inventaire M'!$A:$A,0)-1,MATCH("quantite",'Inventaire M'!#REF!,0))))</f>
        <v/>
      </c>
      <c r="Z476" s="175"/>
      <c r="AA476" s="155" t="str">
        <f>IF(R476="-","",INDEX('Inventaire M-1'!$A$2:$AG$9334,MATCH(R476,'Inventaire M-1'!$A:$A,0)-1,MATCH("poids",'Inventaire M-1'!#REF!,0)))</f>
        <v/>
      </c>
      <c r="AB476" s="155" t="str">
        <f>IF(R476="-","",IF(ISERROR(INDEX('Inventaire M'!$A$2:$AD$9319,MATCH(R476,'Inventaire M'!$A:$A,0)-1,MATCH("poids",'Inventaire M'!#REF!,0))),"Sell",INDEX('Inventaire M'!$A$2:$AD$9319,MATCH(R476,'Inventaire M'!$A:$A,0)-1,MATCH("poids",'Inventaire M'!#REF!,0))))</f>
        <v/>
      </c>
      <c r="AC476" s="175"/>
      <c r="AD476" s="157" t="str">
        <f t="shared" ref="AD476:AD539" si="57">IFERROR(IF(Y476="Sell",-X476,Y476-X476),"0")</f>
        <v>0</v>
      </c>
      <c r="AE476" s="98" t="str">
        <f t="shared" ref="AE476:AE539" si="58">IFERROR(IF(AD476&lt;0,IF(AB476="Sell",AA476+10%,AB476-AA476)+Q476,""),"")</f>
        <v/>
      </c>
      <c r="AF476" s="80" t="str">
        <f t="shared" ref="AF476:AF539" si="59">S476</f>
        <v>-</v>
      </c>
    </row>
    <row r="477" spans="2:32" outlineLevel="1">
      <c r="B477" s="175" t="str">
        <f>IF(OR('Inventaire M'!D250="Dispo/Liquidité Investie",'Inventaire M'!D250="Option/Future",'Inventaire M'!D250="TCN",'Inventaire M'!D250=""),"-",'Inventaire M'!A250)</f>
        <v>-</v>
      </c>
      <c r="C477" s="175" t="str">
        <f>IF(OR('Inventaire M'!D250="Dispo/Liquidité Investie",'Inventaire M'!D250="Option/Future",'Inventaire M'!D250="TCN",'Inventaire M'!D250=""),"-",'Inventaire M'!B250)</f>
        <v>-</v>
      </c>
      <c r="D477" s="175"/>
      <c r="E477" s="175" t="str">
        <f>IF(B477="-","",INDEX('Inventaire M'!$A$2:$AW$9305,MATCH(B477,'Inventaire M'!$A:$A,0)-1,MATCH("Cours EUR",'Inventaire M'!#REF!,0)))</f>
        <v/>
      </c>
      <c r="F477" s="175" t="str">
        <f>IF(B477="-","",IF(ISERROR(INDEX('Inventaire M-1'!$A$2:$AZ$9320,MATCH(B477,'Inventaire M-1'!$A:$A,0)-1,MATCH("Cours EUR",'Inventaire M-1'!#REF!,0))),"Buy",INDEX('Inventaire M-1'!$A$2:$AZ$9320,MATCH(B477,'Inventaire M-1'!$A:$A,0)-1,MATCH("Cours EUR",'Inventaire M-1'!#REF!,0))))</f>
        <v/>
      </c>
      <c r="G477" s="175"/>
      <c r="H477" s="156" t="str">
        <f>IF(B477="-","",INDEX('Inventaire M'!$A$2:$AW$9305,MATCH(B477,'Inventaire M'!$A:$A,0)-1,MATCH("quantite",'Inventaire M'!#REF!,0)))</f>
        <v/>
      </c>
      <c r="I477" s="156" t="str">
        <f>IF(C477="-","",IF(ISERROR(INDEX('Inventaire M-1'!$A$2:$AZ$9320,MATCH(B477,'Inventaire M-1'!$A:$A,0)-1,MATCH("quantite",'Inventaire M-1'!#REF!,0))),"Buy",INDEX('Inventaire M-1'!$A$2:$AZ$9320,MATCH(B477,'Inventaire M-1'!$A:$A,0)-1,MATCH("quantite",'Inventaire M-1'!#REF!,0))))</f>
        <v/>
      </c>
      <c r="J477" s="175"/>
      <c r="K477" s="155" t="str">
        <f>IF(B477="-","",INDEX('Inventaire M'!$A$2:$AW$9305,MATCH(B477,'Inventaire M'!$A:$A,0)-1,MATCH("poids",'Inventaire M'!#REF!,0)))</f>
        <v/>
      </c>
      <c r="L477" s="155" t="str">
        <f>IF(B477="-","",IF(ISERROR(INDEX('Inventaire M-1'!$A$2:$AZ$9320,MATCH(B477,'Inventaire M-1'!$A:$A,0)-1,MATCH("poids",'Inventaire M-1'!#REF!,0))),"Buy",INDEX('Inventaire M-1'!$A$2:$AZ$9320,MATCH(B477,'Inventaire M-1'!$A:$A,0)-1,MATCH("poids",'Inventaire M-1'!#REF!,0))))</f>
        <v/>
      </c>
      <c r="M477" s="175"/>
      <c r="N477" s="157" t="str">
        <f t="shared" si="55"/>
        <v>0</v>
      </c>
      <c r="O477" s="98" t="str">
        <f t="shared" si="54"/>
        <v/>
      </c>
      <c r="P477" s="80" t="str">
        <f t="shared" si="56"/>
        <v>-</v>
      </c>
      <c r="Q477" s="75">
        <v>4.5300000000000002E-8</v>
      </c>
      <c r="R477" s="175" t="str">
        <f>IF(OR('Inventaire M-1'!D229="Dispo/Liquidité Investie",'Inventaire M-1'!D229="Option/Future",'Inventaire M-1'!D229="TCN",'Inventaire M-1'!D229=""),"-",'Inventaire M-1'!A229)</f>
        <v>-</v>
      </c>
      <c r="S477" s="175" t="str">
        <f>IF(OR('Inventaire M-1'!D229="Dispo/Liquidité Investie",'Inventaire M-1'!D229="Option/Future",'Inventaire M-1'!D229="TCN",'Inventaire M-1'!D229=""),"-",'Inventaire M-1'!B229)</f>
        <v>-</v>
      </c>
      <c r="T477" s="175"/>
      <c r="U477" s="175" t="str">
        <f>IF(R477="-","",INDEX('Inventaire M-1'!$A$2:$AG$9334,MATCH(R477,'Inventaire M-1'!$A:$A,0)-1,MATCH("Cours EUR",'Inventaire M-1'!#REF!,0)))</f>
        <v/>
      </c>
      <c r="V477" s="175" t="str">
        <f>IF(R477="-","",IF(ISERROR(INDEX('Inventaire M'!$A$2:$AD$9319,MATCH(R477,'Inventaire M'!$A:$A,0)-1,MATCH("Cours EUR",'Inventaire M'!#REF!,0))),"Sell",INDEX('Inventaire M'!$A$2:$AD$9319,MATCH(R477,'Inventaire M'!$A:$A,0)-1,MATCH("Cours EUR",'Inventaire M'!#REF!,0))))</f>
        <v/>
      </c>
      <c r="W477" s="175"/>
      <c r="X477" s="156" t="str">
        <f>IF(R477="-","",INDEX('Inventaire M-1'!$A$2:$AG$9334,MATCH(R477,'Inventaire M-1'!$A:$A,0)-1,MATCH("quantite",'Inventaire M-1'!#REF!,0)))</f>
        <v/>
      </c>
      <c r="Y477" s="156" t="str">
        <f>IF(S477="-","",IF(ISERROR(INDEX('Inventaire M'!$A$2:$AD$9319,MATCH(R477,'Inventaire M'!$A:$A,0)-1,MATCH("quantite",'Inventaire M'!#REF!,0))),"Sell",INDEX('Inventaire M'!$A$2:$AD$9319,MATCH(R477,'Inventaire M'!$A:$A,0)-1,MATCH("quantite",'Inventaire M'!#REF!,0))))</f>
        <v/>
      </c>
      <c r="Z477" s="175"/>
      <c r="AA477" s="155" t="str">
        <f>IF(R477="-","",INDEX('Inventaire M-1'!$A$2:$AG$9334,MATCH(R477,'Inventaire M-1'!$A:$A,0)-1,MATCH("poids",'Inventaire M-1'!#REF!,0)))</f>
        <v/>
      </c>
      <c r="AB477" s="155" t="str">
        <f>IF(R477="-","",IF(ISERROR(INDEX('Inventaire M'!$A$2:$AD$9319,MATCH(R477,'Inventaire M'!$A:$A,0)-1,MATCH("poids",'Inventaire M'!#REF!,0))),"Sell",INDEX('Inventaire M'!$A$2:$AD$9319,MATCH(R477,'Inventaire M'!$A:$A,0)-1,MATCH("poids",'Inventaire M'!#REF!,0))))</f>
        <v/>
      </c>
      <c r="AC477" s="175"/>
      <c r="AD477" s="157" t="str">
        <f t="shared" si="57"/>
        <v>0</v>
      </c>
      <c r="AE477" s="98" t="str">
        <f t="shared" si="58"/>
        <v/>
      </c>
      <c r="AF477" s="80" t="str">
        <f t="shared" si="59"/>
        <v>-</v>
      </c>
    </row>
    <row r="478" spans="2:32" outlineLevel="1">
      <c r="B478" s="175" t="str">
        <f>IF(OR('Inventaire M'!D251="Dispo/Liquidité Investie",'Inventaire M'!D251="Option/Future",'Inventaire M'!D251="TCN",'Inventaire M'!D251=""),"-",'Inventaire M'!A251)</f>
        <v>-</v>
      </c>
      <c r="C478" s="175" t="str">
        <f>IF(OR('Inventaire M'!D251="Dispo/Liquidité Investie",'Inventaire M'!D251="Option/Future",'Inventaire M'!D251="TCN",'Inventaire M'!D251=""),"-",'Inventaire M'!B251)</f>
        <v>-</v>
      </c>
      <c r="D478" s="175"/>
      <c r="E478" s="175" t="str">
        <f>IF(B478="-","",INDEX('Inventaire M'!$A$2:$AW$9305,MATCH(B478,'Inventaire M'!$A:$A,0)-1,MATCH("Cours EUR",'Inventaire M'!#REF!,0)))</f>
        <v/>
      </c>
      <c r="F478" s="175" t="str">
        <f>IF(B478="-","",IF(ISERROR(INDEX('Inventaire M-1'!$A$2:$AZ$9320,MATCH(B478,'Inventaire M-1'!$A:$A,0)-1,MATCH("Cours EUR",'Inventaire M-1'!#REF!,0))),"Buy",INDEX('Inventaire M-1'!$A$2:$AZ$9320,MATCH(B478,'Inventaire M-1'!$A:$A,0)-1,MATCH("Cours EUR",'Inventaire M-1'!#REF!,0))))</f>
        <v/>
      </c>
      <c r="G478" s="175"/>
      <c r="H478" s="156" t="str">
        <f>IF(B478="-","",INDEX('Inventaire M'!$A$2:$AW$9305,MATCH(B478,'Inventaire M'!$A:$A,0)-1,MATCH("quantite",'Inventaire M'!#REF!,0)))</f>
        <v/>
      </c>
      <c r="I478" s="156" t="str">
        <f>IF(C478="-","",IF(ISERROR(INDEX('Inventaire M-1'!$A$2:$AZ$9320,MATCH(B478,'Inventaire M-1'!$A:$A,0)-1,MATCH("quantite",'Inventaire M-1'!#REF!,0))),"Buy",INDEX('Inventaire M-1'!$A$2:$AZ$9320,MATCH(B478,'Inventaire M-1'!$A:$A,0)-1,MATCH("quantite",'Inventaire M-1'!#REF!,0))))</f>
        <v/>
      </c>
      <c r="J478" s="175"/>
      <c r="K478" s="155" t="str">
        <f>IF(B478="-","",INDEX('Inventaire M'!$A$2:$AW$9305,MATCH(B478,'Inventaire M'!$A:$A,0)-1,MATCH("poids",'Inventaire M'!#REF!,0)))</f>
        <v/>
      </c>
      <c r="L478" s="155" t="str">
        <f>IF(B478="-","",IF(ISERROR(INDEX('Inventaire M-1'!$A$2:$AZ$9320,MATCH(B478,'Inventaire M-1'!$A:$A,0)-1,MATCH("poids",'Inventaire M-1'!#REF!,0))),"Buy",INDEX('Inventaire M-1'!$A$2:$AZ$9320,MATCH(B478,'Inventaire M-1'!$A:$A,0)-1,MATCH("poids",'Inventaire M-1'!#REF!,0))))</f>
        <v/>
      </c>
      <c r="M478" s="175"/>
      <c r="N478" s="157" t="str">
        <f t="shared" si="55"/>
        <v>0</v>
      </c>
      <c r="O478" s="98" t="str">
        <f t="shared" si="54"/>
        <v/>
      </c>
      <c r="P478" s="80" t="str">
        <f t="shared" si="56"/>
        <v>-</v>
      </c>
      <c r="Q478" s="75">
        <v>4.5400000000000003E-8</v>
      </c>
      <c r="R478" s="175" t="str">
        <f>IF(OR('Inventaire M-1'!D230="Dispo/Liquidité Investie",'Inventaire M-1'!D230="Option/Future",'Inventaire M-1'!D230="TCN",'Inventaire M-1'!D230=""),"-",'Inventaire M-1'!A230)</f>
        <v>-</v>
      </c>
      <c r="S478" s="175" t="str">
        <f>IF(OR('Inventaire M-1'!D230="Dispo/Liquidité Investie",'Inventaire M-1'!D230="Option/Future",'Inventaire M-1'!D230="TCN",'Inventaire M-1'!D230=""),"-",'Inventaire M-1'!B230)</f>
        <v>-</v>
      </c>
      <c r="T478" s="175"/>
      <c r="U478" s="175" t="str">
        <f>IF(R478="-","",INDEX('Inventaire M-1'!$A$2:$AG$9334,MATCH(R478,'Inventaire M-1'!$A:$A,0)-1,MATCH("Cours EUR",'Inventaire M-1'!#REF!,0)))</f>
        <v/>
      </c>
      <c r="V478" s="175" t="str">
        <f>IF(R478="-","",IF(ISERROR(INDEX('Inventaire M'!$A$2:$AD$9319,MATCH(R478,'Inventaire M'!$A:$A,0)-1,MATCH("Cours EUR",'Inventaire M'!#REF!,0))),"Sell",INDEX('Inventaire M'!$A$2:$AD$9319,MATCH(R478,'Inventaire M'!$A:$A,0)-1,MATCH("Cours EUR",'Inventaire M'!#REF!,0))))</f>
        <v/>
      </c>
      <c r="W478" s="175"/>
      <c r="X478" s="156" t="str">
        <f>IF(R478="-","",INDEX('Inventaire M-1'!$A$2:$AG$9334,MATCH(R478,'Inventaire M-1'!$A:$A,0)-1,MATCH("quantite",'Inventaire M-1'!#REF!,0)))</f>
        <v/>
      </c>
      <c r="Y478" s="156" t="str">
        <f>IF(S478="-","",IF(ISERROR(INDEX('Inventaire M'!$A$2:$AD$9319,MATCH(R478,'Inventaire M'!$A:$A,0)-1,MATCH("quantite",'Inventaire M'!#REF!,0))),"Sell",INDEX('Inventaire M'!$A$2:$AD$9319,MATCH(R478,'Inventaire M'!$A:$A,0)-1,MATCH("quantite",'Inventaire M'!#REF!,0))))</f>
        <v/>
      </c>
      <c r="Z478" s="175"/>
      <c r="AA478" s="155" t="str">
        <f>IF(R478="-","",INDEX('Inventaire M-1'!$A$2:$AG$9334,MATCH(R478,'Inventaire M-1'!$A:$A,0)-1,MATCH("poids",'Inventaire M-1'!#REF!,0)))</f>
        <v/>
      </c>
      <c r="AB478" s="155" t="str">
        <f>IF(R478="-","",IF(ISERROR(INDEX('Inventaire M'!$A$2:$AD$9319,MATCH(R478,'Inventaire M'!$A:$A,0)-1,MATCH("poids",'Inventaire M'!#REF!,0))),"Sell",INDEX('Inventaire M'!$A$2:$AD$9319,MATCH(R478,'Inventaire M'!$A:$A,0)-1,MATCH("poids",'Inventaire M'!#REF!,0))))</f>
        <v/>
      </c>
      <c r="AC478" s="175"/>
      <c r="AD478" s="157" t="str">
        <f t="shared" si="57"/>
        <v>0</v>
      </c>
      <c r="AE478" s="98" t="str">
        <f t="shared" si="58"/>
        <v/>
      </c>
      <c r="AF478" s="80" t="str">
        <f t="shared" si="59"/>
        <v>-</v>
      </c>
    </row>
    <row r="479" spans="2:32" outlineLevel="1">
      <c r="B479" s="175" t="str">
        <f>IF(OR('Inventaire M'!D252="Dispo/Liquidité Investie",'Inventaire M'!D252="Option/Future",'Inventaire M'!D252="TCN",'Inventaire M'!D252=""),"-",'Inventaire M'!A252)</f>
        <v>-</v>
      </c>
      <c r="C479" s="175" t="str">
        <f>IF(OR('Inventaire M'!D252="Dispo/Liquidité Investie",'Inventaire M'!D252="Option/Future",'Inventaire M'!D252="TCN",'Inventaire M'!D252=""),"-",'Inventaire M'!B252)</f>
        <v>-</v>
      </c>
      <c r="D479" s="175"/>
      <c r="E479" s="175" t="str">
        <f>IF(B479="-","",INDEX('Inventaire M'!$A$2:$AW$9305,MATCH(B479,'Inventaire M'!$A:$A,0)-1,MATCH("Cours EUR",'Inventaire M'!#REF!,0)))</f>
        <v/>
      </c>
      <c r="F479" s="175" t="str">
        <f>IF(B479="-","",IF(ISERROR(INDEX('Inventaire M-1'!$A$2:$AZ$9320,MATCH(B479,'Inventaire M-1'!$A:$A,0)-1,MATCH("Cours EUR",'Inventaire M-1'!#REF!,0))),"Buy",INDEX('Inventaire M-1'!$A$2:$AZ$9320,MATCH(B479,'Inventaire M-1'!$A:$A,0)-1,MATCH("Cours EUR",'Inventaire M-1'!#REF!,0))))</f>
        <v/>
      </c>
      <c r="G479" s="175"/>
      <c r="H479" s="156" t="str">
        <f>IF(B479="-","",INDEX('Inventaire M'!$A$2:$AW$9305,MATCH(B479,'Inventaire M'!$A:$A,0)-1,MATCH("quantite",'Inventaire M'!#REF!,0)))</f>
        <v/>
      </c>
      <c r="I479" s="156" t="str">
        <f>IF(C479="-","",IF(ISERROR(INDEX('Inventaire M-1'!$A$2:$AZ$9320,MATCH(B479,'Inventaire M-1'!$A:$A,0)-1,MATCH("quantite",'Inventaire M-1'!#REF!,0))),"Buy",INDEX('Inventaire M-1'!$A$2:$AZ$9320,MATCH(B479,'Inventaire M-1'!$A:$A,0)-1,MATCH("quantite",'Inventaire M-1'!#REF!,0))))</f>
        <v/>
      </c>
      <c r="J479" s="175"/>
      <c r="K479" s="155" t="str">
        <f>IF(B479="-","",INDEX('Inventaire M'!$A$2:$AW$9305,MATCH(B479,'Inventaire M'!$A:$A,0)-1,MATCH("poids",'Inventaire M'!#REF!,0)))</f>
        <v/>
      </c>
      <c r="L479" s="155" t="str">
        <f>IF(B479="-","",IF(ISERROR(INDEX('Inventaire M-1'!$A$2:$AZ$9320,MATCH(B479,'Inventaire M-1'!$A:$A,0)-1,MATCH("poids",'Inventaire M-1'!#REF!,0))),"Buy",INDEX('Inventaire M-1'!$A$2:$AZ$9320,MATCH(B479,'Inventaire M-1'!$A:$A,0)-1,MATCH("poids",'Inventaire M-1'!#REF!,0))))</f>
        <v/>
      </c>
      <c r="M479" s="175"/>
      <c r="N479" s="157" t="str">
        <f t="shared" si="55"/>
        <v>0</v>
      </c>
      <c r="O479" s="98" t="str">
        <f t="shared" si="54"/>
        <v/>
      </c>
      <c r="P479" s="80" t="str">
        <f t="shared" si="56"/>
        <v>-</v>
      </c>
      <c r="Q479" s="75">
        <v>4.5499999999999997E-8</v>
      </c>
      <c r="R479" s="175" t="str">
        <f>IF(OR('Inventaire M-1'!D231="Dispo/Liquidité Investie",'Inventaire M-1'!D231="Option/Future",'Inventaire M-1'!D231="TCN",'Inventaire M-1'!D231=""),"-",'Inventaire M-1'!A231)</f>
        <v>-</v>
      </c>
      <c r="S479" s="175" t="str">
        <f>IF(OR('Inventaire M-1'!D231="Dispo/Liquidité Investie",'Inventaire M-1'!D231="Option/Future",'Inventaire M-1'!D231="TCN",'Inventaire M-1'!D231=""),"-",'Inventaire M-1'!B231)</f>
        <v>-</v>
      </c>
      <c r="T479" s="175"/>
      <c r="U479" s="175" t="str">
        <f>IF(R479="-","",INDEX('Inventaire M-1'!$A$2:$AG$9334,MATCH(R479,'Inventaire M-1'!$A:$A,0)-1,MATCH("Cours EUR",'Inventaire M-1'!#REF!,0)))</f>
        <v/>
      </c>
      <c r="V479" s="175" t="str">
        <f>IF(R479="-","",IF(ISERROR(INDEX('Inventaire M'!$A$2:$AD$9319,MATCH(R479,'Inventaire M'!$A:$A,0)-1,MATCH("Cours EUR",'Inventaire M'!#REF!,0))),"Sell",INDEX('Inventaire M'!$A$2:$AD$9319,MATCH(R479,'Inventaire M'!$A:$A,0)-1,MATCH("Cours EUR",'Inventaire M'!#REF!,0))))</f>
        <v/>
      </c>
      <c r="W479" s="175"/>
      <c r="X479" s="156" t="str">
        <f>IF(R479="-","",INDEX('Inventaire M-1'!$A$2:$AG$9334,MATCH(R479,'Inventaire M-1'!$A:$A,0)-1,MATCH("quantite",'Inventaire M-1'!#REF!,0)))</f>
        <v/>
      </c>
      <c r="Y479" s="156" t="str">
        <f>IF(S479="-","",IF(ISERROR(INDEX('Inventaire M'!$A$2:$AD$9319,MATCH(R479,'Inventaire M'!$A:$A,0)-1,MATCH("quantite",'Inventaire M'!#REF!,0))),"Sell",INDEX('Inventaire M'!$A$2:$AD$9319,MATCH(R479,'Inventaire M'!$A:$A,0)-1,MATCH("quantite",'Inventaire M'!#REF!,0))))</f>
        <v/>
      </c>
      <c r="Z479" s="175"/>
      <c r="AA479" s="155" t="str">
        <f>IF(R479="-","",INDEX('Inventaire M-1'!$A$2:$AG$9334,MATCH(R479,'Inventaire M-1'!$A:$A,0)-1,MATCH("poids",'Inventaire M-1'!#REF!,0)))</f>
        <v/>
      </c>
      <c r="AB479" s="155" t="str">
        <f>IF(R479="-","",IF(ISERROR(INDEX('Inventaire M'!$A$2:$AD$9319,MATCH(R479,'Inventaire M'!$A:$A,0)-1,MATCH("poids",'Inventaire M'!#REF!,0))),"Sell",INDEX('Inventaire M'!$A$2:$AD$9319,MATCH(R479,'Inventaire M'!$A:$A,0)-1,MATCH("poids",'Inventaire M'!#REF!,0))))</f>
        <v/>
      </c>
      <c r="AC479" s="175"/>
      <c r="AD479" s="157" t="str">
        <f t="shared" si="57"/>
        <v>0</v>
      </c>
      <c r="AE479" s="98" t="str">
        <f t="shared" si="58"/>
        <v/>
      </c>
      <c r="AF479" s="80" t="str">
        <f t="shared" si="59"/>
        <v>-</v>
      </c>
    </row>
    <row r="480" spans="2:32" outlineLevel="1">
      <c r="B480" s="175" t="str">
        <f>IF(OR('Inventaire M'!D253="Dispo/Liquidité Investie",'Inventaire M'!D253="Option/Future",'Inventaire M'!D253="TCN",'Inventaire M'!D253=""),"-",'Inventaire M'!A253)</f>
        <v>-</v>
      </c>
      <c r="C480" s="175" t="str">
        <f>IF(OR('Inventaire M'!D253="Dispo/Liquidité Investie",'Inventaire M'!D253="Option/Future",'Inventaire M'!D253="TCN",'Inventaire M'!D253=""),"-",'Inventaire M'!B253)</f>
        <v>-</v>
      </c>
      <c r="D480" s="175"/>
      <c r="E480" s="175" t="str">
        <f>IF(B480="-","",INDEX('Inventaire M'!$A$2:$AW$9305,MATCH(B480,'Inventaire M'!$A:$A,0)-1,MATCH("Cours EUR",'Inventaire M'!#REF!,0)))</f>
        <v/>
      </c>
      <c r="F480" s="175" t="str">
        <f>IF(B480="-","",IF(ISERROR(INDEX('Inventaire M-1'!$A$2:$AZ$9320,MATCH(B480,'Inventaire M-1'!$A:$A,0)-1,MATCH("Cours EUR",'Inventaire M-1'!#REF!,0))),"Buy",INDEX('Inventaire M-1'!$A$2:$AZ$9320,MATCH(B480,'Inventaire M-1'!$A:$A,0)-1,MATCH("Cours EUR",'Inventaire M-1'!#REF!,0))))</f>
        <v/>
      </c>
      <c r="G480" s="175"/>
      <c r="H480" s="156" t="str">
        <f>IF(B480="-","",INDEX('Inventaire M'!$A$2:$AW$9305,MATCH(B480,'Inventaire M'!$A:$A,0)-1,MATCH("quantite",'Inventaire M'!#REF!,0)))</f>
        <v/>
      </c>
      <c r="I480" s="156" t="str">
        <f>IF(C480="-","",IF(ISERROR(INDEX('Inventaire M-1'!$A$2:$AZ$9320,MATCH(B480,'Inventaire M-1'!$A:$A,0)-1,MATCH("quantite",'Inventaire M-1'!#REF!,0))),"Buy",INDEX('Inventaire M-1'!$A$2:$AZ$9320,MATCH(B480,'Inventaire M-1'!$A:$A,0)-1,MATCH("quantite",'Inventaire M-1'!#REF!,0))))</f>
        <v/>
      </c>
      <c r="J480" s="175"/>
      <c r="K480" s="155" t="str">
        <f>IF(B480="-","",INDEX('Inventaire M'!$A$2:$AW$9305,MATCH(B480,'Inventaire M'!$A:$A,0)-1,MATCH("poids",'Inventaire M'!#REF!,0)))</f>
        <v/>
      </c>
      <c r="L480" s="155" t="str">
        <f>IF(B480="-","",IF(ISERROR(INDEX('Inventaire M-1'!$A$2:$AZ$9320,MATCH(B480,'Inventaire M-1'!$A:$A,0)-1,MATCH("poids",'Inventaire M-1'!#REF!,0))),"Buy",INDEX('Inventaire M-1'!$A$2:$AZ$9320,MATCH(B480,'Inventaire M-1'!$A:$A,0)-1,MATCH("poids",'Inventaire M-1'!#REF!,0))))</f>
        <v/>
      </c>
      <c r="M480" s="175"/>
      <c r="N480" s="157" t="str">
        <f t="shared" si="55"/>
        <v>0</v>
      </c>
      <c r="O480" s="98" t="str">
        <f t="shared" si="54"/>
        <v/>
      </c>
      <c r="P480" s="80" t="str">
        <f t="shared" si="56"/>
        <v>-</v>
      </c>
      <c r="Q480" s="75">
        <v>4.5599999999999998E-8</v>
      </c>
      <c r="R480" s="175" t="str">
        <f>IF(OR('Inventaire M-1'!D232="Dispo/Liquidité Investie",'Inventaire M-1'!D232="Option/Future",'Inventaire M-1'!D232="TCN",'Inventaire M-1'!D232=""),"-",'Inventaire M-1'!A232)</f>
        <v>-</v>
      </c>
      <c r="S480" s="175" t="str">
        <f>IF(OR('Inventaire M-1'!D232="Dispo/Liquidité Investie",'Inventaire M-1'!D232="Option/Future",'Inventaire M-1'!D232="TCN",'Inventaire M-1'!D232=""),"-",'Inventaire M-1'!B232)</f>
        <v>-</v>
      </c>
      <c r="T480" s="175"/>
      <c r="U480" s="175" t="str">
        <f>IF(R480="-","",INDEX('Inventaire M-1'!$A$2:$AG$9334,MATCH(R480,'Inventaire M-1'!$A:$A,0)-1,MATCH("Cours EUR",'Inventaire M-1'!#REF!,0)))</f>
        <v/>
      </c>
      <c r="V480" s="175" t="str">
        <f>IF(R480="-","",IF(ISERROR(INDEX('Inventaire M'!$A$2:$AD$9319,MATCH(R480,'Inventaire M'!$A:$A,0)-1,MATCH("Cours EUR",'Inventaire M'!#REF!,0))),"Sell",INDEX('Inventaire M'!$A$2:$AD$9319,MATCH(R480,'Inventaire M'!$A:$A,0)-1,MATCH("Cours EUR",'Inventaire M'!#REF!,0))))</f>
        <v/>
      </c>
      <c r="W480" s="175"/>
      <c r="X480" s="156" t="str">
        <f>IF(R480="-","",INDEX('Inventaire M-1'!$A$2:$AG$9334,MATCH(R480,'Inventaire M-1'!$A:$A,0)-1,MATCH("quantite",'Inventaire M-1'!#REF!,0)))</f>
        <v/>
      </c>
      <c r="Y480" s="156" t="str">
        <f>IF(S480="-","",IF(ISERROR(INDEX('Inventaire M'!$A$2:$AD$9319,MATCH(R480,'Inventaire M'!$A:$A,0)-1,MATCH("quantite",'Inventaire M'!#REF!,0))),"Sell",INDEX('Inventaire M'!$A$2:$AD$9319,MATCH(R480,'Inventaire M'!$A:$A,0)-1,MATCH("quantite",'Inventaire M'!#REF!,0))))</f>
        <v/>
      </c>
      <c r="Z480" s="175"/>
      <c r="AA480" s="155" t="str">
        <f>IF(R480="-","",INDEX('Inventaire M-1'!$A$2:$AG$9334,MATCH(R480,'Inventaire M-1'!$A:$A,0)-1,MATCH("poids",'Inventaire M-1'!#REF!,0)))</f>
        <v/>
      </c>
      <c r="AB480" s="155" t="str">
        <f>IF(R480="-","",IF(ISERROR(INDEX('Inventaire M'!$A$2:$AD$9319,MATCH(R480,'Inventaire M'!$A:$A,0)-1,MATCH("poids",'Inventaire M'!#REF!,0))),"Sell",INDEX('Inventaire M'!$A$2:$AD$9319,MATCH(R480,'Inventaire M'!$A:$A,0)-1,MATCH("poids",'Inventaire M'!#REF!,0))))</f>
        <v/>
      </c>
      <c r="AC480" s="175"/>
      <c r="AD480" s="157" t="str">
        <f t="shared" si="57"/>
        <v>0</v>
      </c>
      <c r="AE480" s="98" t="str">
        <f t="shared" si="58"/>
        <v/>
      </c>
      <c r="AF480" s="80" t="str">
        <f t="shared" si="59"/>
        <v>-</v>
      </c>
    </row>
    <row r="481" spans="2:32" outlineLevel="1">
      <c r="B481" s="175" t="str">
        <f>IF(OR('Inventaire M'!D254="Dispo/Liquidité Investie",'Inventaire M'!D254="Option/Future",'Inventaire M'!D254="TCN",'Inventaire M'!D254=""),"-",'Inventaire M'!A254)</f>
        <v>-</v>
      </c>
      <c r="C481" s="175" t="str">
        <f>IF(OR('Inventaire M'!D254="Dispo/Liquidité Investie",'Inventaire M'!D254="Option/Future",'Inventaire M'!D254="TCN",'Inventaire M'!D254=""),"-",'Inventaire M'!B254)</f>
        <v>-</v>
      </c>
      <c r="D481" s="175"/>
      <c r="E481" s="175" t="str">
        <f>IF(B481="-","",INDEX('Inventaire M'!$A$2:$AW$9305,MATCH(B481,'Inventaire M'!$A:$A,0)-1,MATCH("Cours EUR",'Inventaire M'!#REF!,0)))</f>
        <v/>
      </c>
      <c r="F481" s="175" t="str">
        <f>IF(B481="-","",IF(ISERROR(INDEX('Inventaire M-1'!$A$2:$AZ$9320,MATCH(B481,'Inventaire M-1'!$A:$A,0)-1,MATCH("Cours EUR",'Inventaire M-1'!#REF!,0))),"Buy",INDEX('Inventaire M-1'!$A$2:$AZ$9320,MATCH(B481,'Inventaire M-1'!$A:$A,0)-1,MATCH("Cours EUR",'Inventaire M-1'!#REF!,0))))</f>
        <v/>
      </c>
      <c r="G481" s="175"/>
      <c r="H481" s="156" t="str">
        <f>IF(B481="-","",INDEX('Inventaire M'!$A$2:$AW$9305,MATCH(B481,'Inventaire M'!$A:$A,0)-1,MATCH("quantite",'Inventaire M'!#REF!,0)))</f>
        <v/>
      </c>
      <c r="I481" s="156" t="str">
        <f>IF(C481="-","",IF(ISERROR(INDEX('Inventaire M-1'!$A$2:$AZ$9320,MATCH(B481,'Inventaire M-1'!$A:$A,0)-1,MATCH("quantite",'Inventaire M-1'!#REF!,0))),"Buy",INDEX('Inventaire M-1'!$A$2:$AZ$9320,MATCH(B481,'Inventaire M-1'!$A:$A,0)-1,MATCH("quantite",'Inventaire M-1'!#REF!,0))))</f>
        <v/>
      </c>
      <c r="J481" s="175"/>
      <c r="K481" s="155" t="str">
        <f>IF(B481="-","",INDEX('Inventaire M'!$A$2:$AW$9305,MATCH(B481,'Inventaire M'!$A:$A,0)-1,MATCH("poids",'Inventaire M'!#REF!,0)))</f>
        <v/>
      </c>
      <c r="L481" s="155" t="str">
        <f>IF(B481="-","",IF(ISERROR(INDEX('Inventaire M-1'!$A$2:$AZ$9320,MATCH(B481,'Inventaire M-1'!$A:$A,0)-1,MATCH("poids",'Inventaire M-1'!#REF!,0))),"Buy",INDEX('Inventaire M-1'!$A$2:$AZ$9320,MATCH(B481,'Inventaire M-1'!$A:$A,0)-1,MATCH("poids",'Inventaire M-1'!#REF!,0))))</f>
        <v/>
      </c>
      <c r="M481" s="175"/>
      <c r="N481" s="157" t="str">
        <f t="shared" si="55"/>
        <v>0</v>
      </c>
      <c r="O481" s="98" t="str">
        <f t="shared" si="54"/>
        <v/>
      </c>
      <c r="P481" s="80" t="str">
        <f t="shared" si="56"/>
        <v>-</v>
      </c>
      <c r="Q481" s="75">
        <v>4.5699999999999999E-8</v>
      </c>
      <c r="R481" s="175" t="str">
        <f>IF(OR('Inventaire M-1'!D233="Dispo/Liquidité Investie",'Inventaire M-1'!D233="Option/Future",'Inventaire M-1'!D233="TCN",'Inventaire M-1'!D233=""),"-",'Inventaire M-1'!A233)</f>
        <v>-</v>
      </c>
      <c r="S481" s="175" t="str">
        <f>IF(OR('Inventaire M-1'!D233="Dispo/Liquidité Investie",'Inventaire M-1'!D233="Option/Future",'Inventaire M-1'!D233="TCN",'Inventaire M-1'!D233=""),"-",'Inventaire M-1'!B233)</f>
        <v>-</v>
      </c>
      <c r="T481" s="175"/>
      <c r="U481" s="175" t="str">
        <f>IF(R481="-","",INDEX('Inventaire M-1'!$A$2:$AG$9334,MATCH(R481,'Inventaire M-1'!$A:$A,0)-1,MATCH("Cours EUR",'Inventaire M-1'!#REF!,0)))</f>
        <v/>
      </c>
      <c r="V481" s="175" t="str">
        <f>IF(R481="-","",IF(ISERROR(INDEX('Inventaire M'!$A$2:$AD$9319,MATCH(R481,'Inventaire M'!$A:$A,0)-1,MATCH("Cours EUR",'Inventaire M'!#REF!,0))),"Sell",INDEX('Inventaire M'!$A$2:$AD$9319,MATCH(R481,'Inventaire M'!$A:$A,0)-1,MATCH("Cours EUR",'Inventaire M'!#REF!,0))))</f>
        <v/>
      </c>
      <c r="W481" s="175"/>
      <c r="X481" s="156" t="str">
        <f>IF(R481="-","",INDEX('Inventaire M-1'!$A$2:$AG$9334,MATCH(R481,'Inventaire M-1'!$A:$A,0)-1,MATCH("quantite",'Inventaire M-1'!#REF!,0)))</f>
        <v/>
      </c>
      <c r="Y481" s="156" t="str">
        <f>IF(S481="-","",IF(ISERROR(INDEX('Inventaire M'!$A$2:$AD$9319,MATCH(R481,'Inventaire M'!$A:$A,0)-1,MATCH("quantite",'Inventaire M'!#REF!,0))),"Sell",INDEX('Inventaire M'!$A$2:$AD$9319,MATCH(R481,'Inventaire M'!$A:$A,0)-1,MATCH("quantite",'Inventaire M'!#REF!,0))))</f>
        <v/>
      </c>
      <c r="Z481" s="175"/>
      <c r="AA481" s="155" t="str">
        <f>IF(R481="-","",INDEX('Inventaire M-1'!$A$2:$AG$9334,MATCH(R481,'Inventaire M-1'!$A:$A,0)-1,MATCH("poids",'Inventaire M-1'!#REF!,0)))</f>
        <v/>
      </c>
      <c r="AB481" s="155" t="str">
        <f>IF(R481="-","",IF(ISERROR(INDEX('Inventaire M'!$A$2:$AD$9319,MATCH(R481,'Inventaire M'!$A:$A,0)-1,MATCH("poids",'Inventaire M'!#REF!,0))),"Sell",INDEX('Inventaire M'!$A$2:$AD$9319,MATCH(R481,'Inventaire M'!$A:$A,0)-1,MATCH("poids",'Inventaire M'!#REF!,0))))</f>
        <v/>
      </c>
      <c r="AC481" s="175"/>
      <c r="AD481" s="157" t="str">
        <f t="shared" si="57"/>
        <v>0</v>
      </c>
      <c r="AE481" s="98" t="str">
        <f t="shared" si="58"/>
        <v/>
      </c>
      <c r="AF481" s="80" t="str">
        <f t="shared" si="59"/>
        <v>-</v>
      </c>
    </row>
    <row r="482" spans="2:32" outlineLevel="1">
      <c r="B482" s="175" t="str">
        <f>IF(OR('Inventaire M'!D255="Dispo/Liquidité Investie",'Inventaire M'!D255="Option/Future",'Inventaire M'!D255="TCN",'Inventaire M'!D255=""),"-",'Inventaire M'!A255)</f>
        <v>-</v>
      </c>
      <c r="C482" s="175" t="str">
        <f>IF(OR('Inventaire M'!D255="Dispo/Liquidité Investie",'Inventaire M'!D255="Option/Future",'Inventaire M'!D255="TCN",'Inventaire M'!D255=""),"-",'Inventaire M'!B255)</f>
        <v>-</v>
      </c>
      <c r="D482" s="175"/>
      <c r="E482" s="175" t="str">
        <f>IF(B482="-","",INDEX('Inventaire M'!$A$2:$AW$9305,MATCH(B482,'Inventaire M'!$A:$A,0)-1,MATCH("Cours EUR",'Inventaire M'!#REF!,0)))</f>
        <v/>
      </c>
      <c r="F482" s="175" t="str">
        <f>IF(B482="-","",IF(ISERROR(INDEX('Inventaire M-1'!$A$2:$AZ$9320,MATCH(B482,'Inventaire M-1'!$A:$A,0)-1,MATCH("Cours EUR",'Inventaire M-1'!#REF!,0))),"Buy",INDEX('Inventaire M-1'!$A$2:$AZ$9320,MATCH(B482,'Inventaire M-1'!$A:$A,0)-1,MATCH("Cours EUR",'Inventaire M-1'!#REF!,0))))</f>
        <v/>
      </c>
      <c r="G482" s="175"/>
      <c r="H482" s="156" t="str">
        <f>IF(B482="-","",INDEX('Inventaire M'!$A$2:$AW$9305,MATCH(B482,'Inventaire M'!$A:$A,0)-1,MATCH("quantite",'Inventaire M'!#REF!,0)))</f>
        <v/>
      </c>
      <c r="I482" s="156" t="str">
        <f>IF(C482="-","",IF(ISERROR(INDEX('Inventaire M-1'!$A$2:$AZ$9320,MATCH(B482,'Inventaire M-1'!$A:$A,0)-1,MATCH("quantite",'Inventaire M-1'!#REF!,0))),"Buy",INDEX('Inventaire M-1'!$A$2:$AZ$9320,MATCH(B482,'Inventaire M-1'!$A:$A,0)-1,MATCH("quantite",'Inventaire M-1'!#REF!,0))))</f>
        <v/>
      </c>
      <c r="J482" s="175"/>
      <c r="K482" s="155" t="str">
        <f>IF(B482="-","",INDEX('Inventaire M'!$A$2:$AW$9305,MATCH(B482,'Inventaire M'!$A:$A,0)-1,MATCH("poids",'Inventaire M'!#REF!,0)))</f>
        <v/>
      </c>
      <c r="L482" s="155" t="str">
        <f>IF(B482="-","",IF(ISERROR(INDEX('Inventaire M-1'!$A$2:$AZ$9320,MATCH(B482,'Inventaire M-1'!$A:$A,0)-1,MATCH("poids",'Inventaire M-1'!#REF!,0))),"Buy",INDEX('Inventaire M-1'!$A$2:$AZ$9320,MATCH(B482,'Inventaire M-1'!$A:$A,0)-1,MATCH("poids",'Inventaire M-1'!#REF!,0))))</f>
        <v/>
      </c>
      <c r="M482" s="175"/>
      <c r="N482" s="157" t="str">
        <f t="shared" si="55"/>
        <v>0</v>
      </c>
      <c r="O482" s="98" t="str">
        <f t="shared" si="54"/>
        <v/>
      </c>
      <c r="P482" s="80" t="str">
        <f t="shared" si="56"/>
        <v>-</v>
      </c>
      <c r="Q482" s="75">
        <v>4.58E-8</v>
      </c>
      <c r="R482" s="175" t="str">
        <f>IF(OR('Inventaire M-1'!D234="Dispo/Liquidité Investie",'Inventaire M-1'!D234="Option/Future",'Inventaire M-1'!D234="TCN",'Inventaire M-1'!D234=""),"-",'Inventaire M-1'!A234)</f>
        <v>-</v>
      </c>
      <c r="S482" s="175" t="str">
        <f>IF(OR('Inventaire M-1'!D234="Dispo/Liquidité Investie",'Inventaire M-1'!D234="Option/Future",'Inventaire M-1'!D234="TCN",'Inventaire M-1'!D234=""),"-",'Inventaire M-1'!B234)</f>
        <v>-</v>
      </c>
      <c r="T482" s="175"/>
      <c r="U482" s="175" t="str">
        <f>IF(R482="-","",INDEX('Inventaire M-1'!$A$2:$AG$9334,MATCH(R482,'Inventaire M-1'!$A:$A,0)-1,MATCH("Cours EUR",'Inventaire M-1'!#REF!,0)))</f>
        <v/>
      </c>
      <c r="V482" s="175" t="str">
        <f>IF(R482="-","",IF(ISERROR(INDEX('Inventaire M'!$A$2:$AD$9319,MATCH(R482,'Inventaire M'!$A:$A,0)-1,MATCH("Cours EUR",'Inventaire M'!#REF!,0))),"Sell",INDEX('Inventaire M'!$A$2:$AD$9319,MATCH(R482,'Inventaire M'!$A:$A,0)-1,MATCH("Cours EUR",'Inventaire M'!#REF!,0))))</f>
        <v/>
      </c>
      <c r="W482" s="175"/>
      <c r="X482" s="156" t="str">
        <f>IF(R482="-","",INDEX('Inventaire M-1'!$A$2:$AG$9334,MATCH(R482,'Inventaire M-1'!$A:$A,0)-1,MATCH("quantite",'Inventaire M-1'!#REF!,0)))</f>
        <v/>
      </c>
      <c r="Y482" s="156" t="str">
        <f>IF(S482="-","",IF(ISERROR(INDEX('Inventaire M'!$A$2:$AD$9319,MATCH(R482,'Inventaire M'!$A:$A,0)-1,MATCH("quantite",'Inventaire M'!#REF!,0))),"Sell",INDEX('Inventaire M'!$A$2:$AD$9319,MATCH(R482,'Inventaire M'!$A:$A,0)-1,MATCH("quantite",'Inventaire M'!#REF!,0))))</f>
        <v/>
      </c>
      <c r="Z482" s="175"/>
      <c r="AA482" s="155" t="str">
        <f>IF(R482="-","",INDEX('Inventaire M-1'!$A$2:$AG$9334,MATCH(R482,'Inventaire M-1'!$A:$A,0)-1,MATCH("poids",'Inventaire M-1'!#REF!,0)))</f>
        <v/>
      </c>
      <c r="AB482" s="155" t="str">
        <f>IF(R482="-","",IF(ISERROR(INDEX('Inventaire M'!$A$2:$AD$9319,MATCH(R482,'Inventaire M'!$A:$A,0)-1,MATCH("poids",'Inventaire M'!#REF!,0))),"Sell",INDEX('Inventaire M'!$A$2:$AD$9319,MATCH(R482,'Inventaire M'!$A:$A,0)-1,MATCH("poids",'Inventaire M'!#REF!,0))))</f>
        <v/>
      </c>
      <c r="AC482" s="175"/>
      <c r="AD482" s="157" t="str">
        <f t="shared" si="57"/>
        <v>0</v>
      </c>
      <c r="AE482" s="98" t="str">
        <f t="shared" si="58"/>
        <v/>
      </c>
      <c r="AF482" s="80" t="str">
        <f t="shared" si="59"/>
        <v>-</v>
      </c>
    </row>
    <row r="483" spans="2:32" outlineLevel="1">
      <c r="B483" s="175" t="str">
        <f>IF(OR('Inventaire M'!D256="Dispo/Liquidité Investie",'Inventaire M'!D256="Option/Future",'Inventaire M'!D256="TCN",'Inventaire M'!D256=""),"-",'Inventaire M'!A256)</f>
        <v>-</v>
      </c>
      <c r="C483" s="175" t="str">
        <f>IF(OR('Inventaire M'!D256="Dispo/Liquidité Investie",'Inventaire M'!D256="Option/Future",'Inventaire M'!D256="TCN",'Inventaire M'!D256=""),"-",'Inventaire M'!B256)</f>
        <v>-</v>
      </c>
      <c r="D483" s="175"/>
      <c r="E483" s="175" t="str">
        <f>IF(B483="-","",INDEX('Inventaire M'!$A$2:$AW$9305,MATCH(B483,'Inventaire M'!$A:$A,0)-1,MATCH("Cours EUR",'Inventaire M'!#REF!,0)))</f>
        <v/>
      </c>
      <c r="F483" s="175" t="str">
        <f>IF(B483="-","",IF(ISERROR(INDEX('Inventaire M-1'!$A$2:$AZ$9320,MATCH(B483,'Inventaire M-1'!$A:$A,0)-1,MATCH("Cours EUR",'Inventaire M-1'!#REF!,0))),"Buy",INDEX('Inventaire M-1'!$A$2:$AZ$9320,MATCH(B483,'Inventaire M-1'!$A:$A,0)-1,MATCH("Cours EUR",'Inventaire M-1'!#REF!,0))))</f>
        <v/>
      </c>
      <c r="G483" s="175"/>
      <c r="H483" s="156" t="str">
        <f>IF(B483="-","",INDEX('Inventaire M'!$A$2:$AW$9305,MATCH(B483,'Inventaire M'!$A:$A,0)-1,MATCH("quantite",'Inventaire M'!#REF!,0)))</f>
        <v/>
      </c>
      <c r="I483" s="156" t="str">
        <f>IF(C483="-","",IF(ISERROR(INDEX('Inventaire M-1'!$A$2:$AZ$9320,MATCH(B483,'Inventaire M-1'!$A:$A,0)-1,MATCH("quantite",'Inventaire M-1'!#REF!,0))),"Buy",INDEX('Inventaire M-1'!$A$2:$AZ$9320,MATCH(B483,'Inventaire M-1'!$A:$A,0)-1,MATCH("quantite",'Inventaire M-1'!#REF!,0))))</f>
        <v/>
      </c>
      <c r="J483" s="175"/>
      <c r="K483" s="155" t="str">
        <f>IF(B483="-","",INDEX('Inventaire M'!$A$2:$AW$9305,MATCH(B483,'Inventaire M'!$A:$A,0)-1,MATCH("poids",'Inventaire M'!#REF!,0)))</f>
        <v/>
      </c>
      <c r="L483" s="155" t="str">
        <f>IF(B483="-","",IF(ISERROR(INDEX('Inventaire M-1'!$A$2:$AZ$9320,MATCH(B483,'Inventaire M-1'!$A:$A,0)-1,MATCH("poids",'Inventaire M-1'!#REF!,0))),"Buy",INDEX('Inventaire M-1'!$A$2:$AZ$9320,MATCH(B483,'Inventaire M-1'!$A:$A,0)-1,MATCH("poids",'Inventaire M-1'!#REF!,0))))</f>
        <v/>
      </c>
      <c r="M483" s="175"/>
      <c r="N483" s="157" t="str">
        <f t="shared" si="55"/>
        <v>0</v>
      </c>
      <c r="O483" s="98" t="str">
        <f t="shared" si="54"/>
        <v/>
      </c>
      <c r="P483" s="80" t="str">
        <f t="shared" si="56"/>
        <v>-</v>
      </c>
      <c r="Q483" s="75">
        <v>4.5900000000000001E-8</v>
      </c>
      <c r="R483" s="175" t="str">
        <f>IF(OR('Inventaire M-1'!D235="Dispo/Liquidité Investie",'Inventaire M-1'!D235="Option/Future",'Inventaire M-1'!D235="TCN",'Inventaire M-1'!D235=""),"-",'Inventaire M-1'!A235)</f>
        <v>-</v>
      </c>
      <c r="S483" s="175" t="str">
        <f>IF(OR('Inventaire M-1'!D235="Dispo/Liquidité Investie",'Inventaire M-1'!D235="Option/Future",'Inventaire M-1'!D235="TCN",'Inventaire M-1'!D235=""),"-",'Inventaire M-1'!B235)</f>
        <v>-</v>
      </c>
      <c r="T483" s="175"/>
      <c r="U483" s="175" t="str">
        <f>IF(R483="-","",INDEX('Inventaire M-1'!$A$2:$AG$9334,MATCH(R483,'Inventaire M-1'!$A:$A,0)-1,MATCH("Cours EUR",'Inventaire M-1'!#REF!,0)))</f>
        <v/>
      </c>
      <c r="V483" s="175" t="str">
        <f>IF(R483="-","",IF(ISERROR(INDEX('Inventaire M'!$A$2:$AD$9319,MATCH(R483,'Inventaire M'!$A:$A,0)-1,MATCH("Cours EUR",'Inventaire M'!#REF!,0))),"Sell",INDEX('Inventaire M'!$A$2:$AD$9319,MATCH(R483,'Inventaire M'!$A:$A,0)-1,MATCH("Cours EUR",'Inventaire M'!#REF!,0))))</f>
        <v/>
      </c>
      <c r="W483" s="175"/>
      <c r="X483" s="156" t="str">
        <f>IF(R483="-","",INDEX('Inventaire M-1'!$A$2:$AG$9334,MATCH(R483,'Inventaire M-1'!$A:$A,0)-1,MATCH("quantite",'Inventaire M-1'!#REF!,0)))</f>
        <v/>
      </c>
      <c r="Y483" s="156" t="str">
        <f>IF(S483="-","",IF(ISERROR(INDEX('Inventaire M'!$A$2:$AD$9319,MATCH(R483,'Inventaire M'!$A:$A,0)-1,MATCH("quantite",'Inventaire M'!#REF!,0))),"Sell",INDEX('Inventaire M'!$A$2:$AD$9319,MATCH(R483,'Inventaire M'!$A:$A,0)-1,MATCH("quantite",'Inventaire M'!#REF!,0))))</f>
        <v/>
      </c>
      <c r="Z483" s="175"/>
      <c r="AA483" s="155" t="str">
        <f>IF(R483="-","",INDEX('Inventaire M-1'!$A$2:$AG$9334,MATCH(R483,'Inventaire M-1'!$A:$A,0)-1,MATCH("poids",'Inventaire M-1'!#REF!,0)))</f>
        <v/>
      </c>
      <c r="AB483" s="155" t="str">
        <f>IF(R483="-","",IF(ISERROR(INDEX('Inventaire M'!$A$2:$AD$9319,MATCH(R483,'Inventaire M'!$A:$A,0)-1,MATCH("poids",'Inventaire M'!#REF!,0))),"Sell",INDEX('Inventaire M'!$A$2:$AD$9319,MATCH(R483,'Inventaire M'!$A:$A,0)-1,MATCH("poids",'Inventaire M'!#REF!,0))))</f>
        <v/>
      </c>
      <c r="AC483" s="175"/>
      <c r="AD483" s="157" t="str">
        <f t="shared" si="57"/>
        <v>0</v>
      </c>
      <c r="AE483" s="98" t="str">
        <f t="shared" si="58"/>
        <v/>
      </c>
      <c r="AF483" s="80" t="str">
        <f t="shared" si="59"/>
        <v>-</v>
      </c>
    </row>
    <row r="484" spans="2:32" outlineLevel="1">
      <c r="B484" s="175" t="str">
        <f>IF(OR('Inventaire M'!D257="Dispo/Liquidité Investie",'Inventaire M'!D257="Option/Future",'Inventaire M'!D257="TCN",'Inventaire M'!D257=""),"-",'Inventaire M'!A257)</f>
        <v>-</v>
      </c>
      <c r="C484" s="175" t="str">
        <f>IF(OR('Inventaire M'!D257="Dispo/Liquidité Investie",'Inventaire M'!D257="Option/Future",'Inventaire M'!D257="TCN",'Inventaire M'!D257=""),"-",'Inventaire M'!B257)</f>
        <v>-</v>
      </c>
      <c r="D484" s="175"/>
      <c r="E484" s="175" t="str">
        <f>IF(B484="-","",INDEX('Inventaire M'!$A$2:$AW$9305,MATCH(B484,'Inventaire M'!$A:$A,0)-1,MATCH("Cours EUR",'Inventaire M'!#REF!,0)))</f>
        <v/>
      </c>
      <c r="F484" s="175" t="str">
        <f>IF(B484="-","",IF(ISERROR(INDEX('Inventaire M-1'!$A$2:$AZ$9320,MATCH(B484,'Inventaire M-1'!$A:$A,0)-1,MATCH("Cours EUR",'Inventaire M-1'!#REF!,0))),"Buy",INDEX('Inventaire M-1'!$A$2:$AZ$9320,MATCH(B484,'Inventaire M-1'!$A:$A,0)-1,MATCH("Cours EUR",'Inventaire M-1'!#REF!,0))))</f>
        <v/>
      </c>
      <c r="G484" s="175"/>
      <c r="H484" s="156" t="str">
        <f>IF(B484="-","",INDEX('Inventaire M'!$A$2:$AW$9305,MATCH(B484,'Inventaire M'!$A:$A,0)-1,MATCH("quantite",'Inventaire M'!#REF!,0)))</f>
        <v/>
      </c>
      <c r="I484" s="156" t="str">
        <f>IF(C484="-","",IF(ISERROR(INDEX('Inventaire M-1'!$A$2:$AZ$9320,MATCH(B484,'Inventaire M-1'!$A:$A,0)-1,MATCH("quantite",'Inventaire M-1'!#REF!,0))),"Buy",INDEX('Inventaire M-1'!$A$2:$AZ$9320,MATCH(B484,'Inventaire M-1'!$A:$A,0)-1,MATCH("quantite",'Inventaire M-1'!#REF!,0))))</f>
        <v/>
      </c>
      <c r="J484" s="175"/>
      <c r="K484" s="155" t="str">
        <f>IF(B484="-","",INDEX('Inventaire M'!$A$2:$AW$9305,MATCH(B484,'Inventaire M'!$A:$A,0)-1,MATCH("poids",'Inventaire M'!#REF!,0)))</f>
        <v/>
      </c>
      <c r="L484" s="155" t="str">
        <f>IF(B484="-","",IF(ISERROR(INDEX('Inventaire M-1'!$A$2:$AZ$9320,MATCH(B484,'Inventaire M-1'!$A:$A,0)-1,MATCH("poids",'Inventaire M-1'!#REF!,0))),"Buy",INDEX('Inventaire M-1'!$A$2:$AZ$9320,MATCH(B484,'Inventaire M-1'!$A:$A,0)-1,MATCH("poids",'Inventaire M-1'!#REF!,0))))</f>
        <v/>
      </c>
      <c r="M484" s="175"/>
      <c r="N484" s="157" t="str">
        <f t="shared" si="55"/>
        <v>0</v>
      </c>
      <c r="O484" s="98" t="str">
        <f t="shared" si="54"/>
        <v/>
      </c>
      <c r="P484" s="80" t="str">
        <f t="shared" si="56"/>
        <v>-</v>
      </c>
      <c r="Q484" s="75">
        <v>4.6000000000000002E-8</v>
      </c>
      <c r="R484" s="175" t="str">
        <f>IF(OR('Inventaire M-1'!D236="Dispo/Liquidité Investie",'Inventaire M-1'!D236="Option/Future",'Inventaire M-1'!D236="TCN",'Inventaire M-1'!D236=""),"-",'Inventaire M-1'!A236)</f>
        <v>-</v>
      </c>
      <c r="S484" s="175" t="str">
        <f>IF(OR('Inventaire M-1'!D236="Dispo/Liquidité Investie",'Inventaire M-1'!D236="Option/Future",'Inventaire M-1'!D236="TCN",'Inventaire M-1'!D236=""),"-",'Inventaire M-1'!B236)</f>
        <v>-</v>
      </c>
      <c r="T484" s="175"/>
      <c r="U484" s="175" t="str">
        <f>IF(R484="-","",INDEX('Inventaire M-1'!$A$2:$AG$9334,MATCH(R484,'Inventaire M-1'!$A:$A,0)-1,MATCH("Cours EUR",'Inventaire M-1'!#REF!,0)))</f>
        <v/>
      </c>
      <c r="V484" s="175" t="str">
        <f>IF(R484="-","",IF(ISERROR(INDEX('Inventaire M'!$A$2:$AD$9319,MATCH(R484,'Inventaire M'!$A:$A,0)-1,MATCH("Cours EUR",'Inventaire M'!#REF!,0))),"Sell",INDEX('Inventaire M'!$A$2:$AD$9319,MATCH(R484,'Inventaire M'!$A:$A,0)-1,MATCH("Cours EUR",'Inventaire M'!#REF!,0))))</f>
        <v/>
      </c>
      <c r="W484" s="175"/>
      <c r="X484" s="156" t="str">
        <f>IF(R484="-","",INDEX('Inventaire M-1'!$A$2:$AG$9334,MATCH(R484,'Inventaire M-1'!$A:$A,0)-1,MATCH("quantite",'Inventaire M-1'!#REF!,0)))</f>
        <v/>
      </c>
      <c r="Y484" s="156" t="str">
        <f>IF(S484="-","",IF(ISERROR(INDEX('Inventaire M'!$A$2:$AD$9319,MATCH(R484,'Inventaire M'!$A:$A,0)-1,MATCH("quantite",'Inventaire M'!#REF!,0))),"Sell",INDEX('Inventaire M'!$A$2:$AD$9319,MATCH(R484,'Inventaire M'!$A:$A,0)-1,MATCH("quantite",'Inventaire M'!#REF!,0))))</f>
        <v/>
      </c>
      <c r="Z484" s="175"/>
      <c r="AA484" s="155" t="str">
        <f>IF(R484="-","",INDEX('Inventaire M-1'!$A$2:$AG$9334,MATCH(R484,'Inventaire M-1'!$A:$A,0)-1,MATCH("poids",'Inventaire M-1'!#REF!,0)))</f>
        <v/>
      </c>
      <c r="AB484" s="155" t="str">
        <f>IF(R484="-","",IF(ISERROR(INDEX('Inventaire M'!$A$2:$AD$9319,MATCH(R484,'Inventaire M'!$A:$A,0)-1,MATCH("poids",'Inventaire M'!#REF!,0))),"Sell",INDEX('Inventaire M'!$A$2:$AD$9319,MATCH(R484,'Inventaire M'!$A:$A,0)-1,MATCH("poids",'Inventaire M'!#REF!,0))))</f>
        <v/>
      </c>
      <c r="AC484" s="175"/>
      <c r="AD484" s="157" t="str">
        <f t="shared" si="57"/>
        <v>0</v>
      </c>
      <c r="AE484" s="98" t="str">
        <f t="shared" si="58"/>
        <v/>
      </c>
      <c r="AF484" s="80" t="str">
        <f t="shared" si="59"/>
        <v>-</v>
      </c>
    </row>
    <row r="485" spans="2:32" outlineLevel="1">
      <c r="B485" s="175" t="str">
        <f>IF(OR('Inventaire M'!D258="Dispo/Liquidité Investie",'Inventaire M'!D258="Option/Future",'Inventaire M'!D258="TCN",'Inventaire M'!D258=""),"-",'Inventaire M'!A258)</f>
        <v>-</v>
      </c>
      <c r="C485" s="175" t="str">
        <f>IF(OR('Inventaire M'!D258="Dispo/Liquidité Investie",'Inventaire M'!D258="Option/Future",'Inventaire M'!D258="TCN",'Inventaire M'!D258=""),"-",'Inventaire M'!B258)</f>
        <v>-</v>
      </c>
      <c r="D485" s="175"/>
      <c r="E485" s="175" t="str">
        <f>IF(B485="-","",INDEX('Inventaire M'!$A$2:$AW$9305,MATCH(B485,'Inventaire M'!$A:$A,0)-1,MATCH("Cours EUR",'Inventaire M'!#REF!,0)))</f>
        <v/>
      </c>
      <c r="F485" s="175" t="str">
        <f>IF(B485="-","",IF(ISERROR(INDEX('Inventaire M-1'!$A$2:$AZ$9320,MATCH(B485,'Inventaire M-1'!$A:$A,0)-1,MATCH("Cours EUR",'Inventaire M-1'!#REF!,0))),"Buy",INDEX('Inventaire M-1'!$A$2:$AZ$9320,MATCH(B485,'Inventaire M-1'!$A:$A,0)-1,MATCH("Cours EUR",'Inventaire M-1'!#REF!,0))))</f>
        <v/>
      </c>
      <c r="G485" s="175"/>
      <c r="H485" s="156" t="str">
        <f>IF(B485="-","",INDEX('Inventaire M'!$A$2:$AW$9305,MATCH(B485,'Inventaire M'!$A:$A,0)-1,MATCH("quantite",'Inventaire M'!#REF!,0)))</f>
        <v/>
      </c>
      <c r="I485" s="156" t="str">
        <f>IF(C485="-","",IF(ISERROR(INDEX('Inventaire M-1'!$A$2:$AZ$9320,MATCH(B485,'Inventaire M-1'!$A:$A,0)-1,MATCH("quantite",'Inventaire M-1'!#REF!,0))),"Buy",INDEX('Inventaire M-1'!$A$2:$AZ$9320,MATCH(B485,'Inventaire M-1'!$A:$A,0)-1,MATCH("quantite",'Inventaire M-1'!#REF!,0))))</f>
        <v/>
      </c>
      <c r="J485" s="175"/>
      <c r="K485" s="155" t="str">
        <f>IF(B485="-","",INDEX('Inventaire M'!$A$2:$AW$9305,MATCH(B485,'Inventaire M'!$A:$A,0)-1,MATCH("poids",'Inventaire M'!#REF!,0)))</f>
        <v/>
      </c>
      <c r="L485" s="155" t="str">
        <f>IF(B485="-","",IF(ISERROR(INDEX('Inventaire M-1'!$A$2:$AZ$9320,MATCH(B485,'Inventaire M-1'!$A:$A,0)-1,MATCH("poids",'Inventaire M-1'!#REF!,0))),"Buy",INDEX('Inventaire M-1'!$A$2:$AZ$9320,MATCH(B485,'Inventaire M-1'!$A:$A,0)-1,MATCH("poids",'Inventaire M-1'!#REF!,0))))</f>
        <v/>
      </c>
      <c r="M485" s="175"/>
      <c r="N485" s="157" t="str">
        <f t="shared" si="55"/>
        <v>0</v>
      </c>
      <c r="O485" s="98" t="str">
        <f t="shared" si="54"/>
        <v/>
      </c>
      <c r="P485" s="80" t="str">
        <f t="shared" si="56"/>
        <v>-</v>
      </c>
      <c r="Q485" s="75">
        <v>4.6100000000000003E-8</v>
      </c>
      <c r="R485" s="175" t="str">
        <f>IF(OR('Inventaire M-1'!D237="Dispo/Liquidité Investie",'Inventaire M-1'!D237="Option/Future",'Inventaire M-1'!D237="TCN",'Inventaire M-1'!D237=""),"-",'Inventaire M-1'!A237)</f>
        <v>-</v>
      </c>
      <c r="S485" s="175" t="str">
        <f>IF(OR('Inventaire M-1'!D237="Dispo/Liquidité Investie",'Inventaire M-1'!D237="Option/Future",'Inventaire M-1'!D237="TCN",'Inventaire M-1'!D237=""),"-",'Inventaire M-1'!B237)</f>
        <v>-</v>
      </c>
      <c r="T485" s="175"/>
      <c r="U485" s="175" t="str">
        <f>IF(R485="-","",INDEX('Inventaire M-1'!$A$2:$AG$9334,MATCH(R485,'Inventaire M-1'!$A:$A,0)-1,MATCH("Cours EUR",'Inventaire M-1'!#REF!,0)))</f>
        <v/>
      </c>
      <c r="V485" s="175" t="str">
        <f>IF(R485="-","",IF(ISERROR(INDEX('Inventaire M'!$A$2:$AD$9319,MATCH(R485,'Inventaire M'!$A:$A,0)-1,MATCH("Cours EUR",'Inventaire M'!#REF!,0))),"Sell",INDEX('Inventaire M'!$A$2:$AD$9319,MATCH(R485,'Inventaire M'!$A:$A,0)-1,MATCH("Cours EUR",'Inventaire M'!#REF!,0))))</f>
        <v/>
      </c>
      <c r="W485" s="175"/>
      <c r="X485" s="156" t="str">
        <f>IF(R485="-","",INDEX('Inventaire M-1'!$A$2:$AG$9334,MATCH(R485,'Inventaire M-1'!$A:$A,0)-1,MATCH("quantite",'Inventaire M-1'!#REF!,0)))</f>
        <v/>
      </c>
      <c r="Y485" s="156" t="str">
        <f>IF(S485="-","",IF(ISERROR(INDEX('Inventaire M'!$A$2:$AD$9319,MATCH(R485,'Inventaire M'!$A:$A,0)-1,MATCH("quantite",'Inventaire M'!#REF!,0))),"Sell",INDEX('Inventaire M'!$A$2:$AD$9319,MATCH(R485,'Inventaire M'!$A:$A,0)-1,MATCH("quantite",'Inventaire M'!#REF!,0))))</f>
        <v/>
      </c>
      <c r="Z485" s="175"/>
      <c r="AA485" s="155" t="str">
        <f>IF(R485="-","",INDEX('Inventaire M-1'!$A$2:$AG$9334,MATCH(R485,'Inventaire M-1'!$A:$A,0)-1,MATCH("poids",'Inventaire M-1'!#REF!,0)))</f>
        <v/>
      </c>
      <c r="AB485" s="155" t="str">
        <f>IF(R485="-","",IF(ISERROR(INDEX('Inventaire M'!$A$2:$AD$9319,MATCH(R485,'Inventaire M'!$A:$A,0)-1,MATCH("poids",'Inventaire M'!#REF!,0))),"Sell",INDEX('Inventaire M'!$A$2:$AD$9319,MATCH(R485,'Inventaire M'!$A:$A,0)-1,MATCH("poids",'Inventaire M'!#REF!,0))))</f>
        <v/>
      </c>
      <c r="AC485" s="175"/>
      <c r="AD485" s="157" t="str">
        <f t="shared" si="57"/>
        <v>0</v>
      </c>
      <c r="AE485" s="98" t="str">
        <f t="shared" si="58"/>
        <v/>
      </c>
      <c r="AF485" s="80" t="str">
        <f t="shared" si="59"/>
        <v>-</v>
      </c>
    </row>
    <row r="486" spans="2:32" outlineLevel="1">
      <c r="B486" s="175" t="str">
        <f>IF(OR('Inventaire M'!D259="Dispo/Liquidité Investie",'Inventaire M'!D259="Option/Future",'Inventaire M'!D259="TCN",'Inventaire M'!D259=""),"-",'Inventaire M'!A259)</f>
        <v>-</v>
      </c>
      <c r="C486" s="175" t="str">
        <f>IF(OR('Inventaire M'!D259="Dispo/Liquidité Investie",'Inventaire M'!D259="Option/Future",'Inventaire M'!D259="TCN",'Inventaire M'!D259=""),"-",'Inventaire M'!B259)</f>
        <v>-</v>
      </c>
      <c r="D486" s="175"/>
      <c r="E486" s="175" t="str">
        <f>IF(B486="-","",INDEX('Inventaire M'!$A$2:$AW$9305,MATCH(B486,'Inventaire M'!$A:$A,0)-1,MATCH("Cours EUR",'Inventaire M'!#REF!,0)))</f>
        <v/>
      </c>
      <c r="F486" s="175" t="str">
        <f>IF(B486="-","",IF(ISERROR(INDEX('Inventaire M-1'!$A$2:$AZ$9320,MATCH(B486,'Inventaire M-1'!$A:$A,0)-1,MATCH("Cours EUR",'Inventaire M-1'!#REF!,0))),"Buy",INDEX('Inventaire M-1'!$A$2:$AZ$9320,MATCH(B486,'Inventaire M-1'!$A:$A,0)-1,MATCH("Cours EUR",'Inventaire M-1'!#REF!,0))))</f>
        <v/>
      </c>
      <c r="G486" s="175"/>
      <c r="H486" s="156" t="str">
        <f>IF(B486="-","",INDEX('Inventaire M'!$A$2:$AW$9305,MATCH(B486,'Inventaire M'!$A:$A,0)-1,MATCH("quantite",'Inventaire M'!#REF!,0)))</f>
        <v/>
      </c>
      <c r="I486" s="156" t="str">
        <f>IF(C486="-","",IF(ISERROR(INDEX('Inventaire M-1'!$A$2:$AZ$9320,MATCH(B486,'Inventaire M-1'!$A:$A,0)-1,MATCH("quantite",'Inventaire M-1'!#REF!,0))),"Buy",INDEX('Inventaire M-1'!$A$2:$AZ$9320,MATCH(B486,'Inventaire M-1'!$A:$A,0)-1,MATCH("quantite",'Inventaire M-1'!#REF!,0))))</f>
        <v/>
      </c>
      <c r="J486" s="175"/>
      <c r="K486" s="155" t="str">
        <f>IF(B486="-","",INDEX('Inventaire M'!$A$2:$AW$9305,MATCH(B486,'Inventaire M'!$A:$A,0)-1,MATCH("poids",'Inventaire M'!#REF!,0)))</f>
        <v/>
      </c>
      <c r="L486" s="155" t="str">
        <f>IF(B486="-","",IF(ISERROR(INDEX('Inventaire M-1'!$A$2:$AZ$9320,MATCH(B486,'Inventaire M-1'!$A:$A,0)-1,MATCH("poids",'Inventaire M-1'!#REF!,0))),"Buy",INDEX('Inventaire M-1'!$A$2:$AZ$9320,MATCH(B486,'Inventaire M-1'!$A:$A,0)-1,MATCH("poids",'Inventaire M-1'!#REF!,0))))</f>
        <v/>
      </c>
      <c r="M486" s="175"/>
      <c r="N486" s="157" t="str">
        <f t="shared" si="55"/>
        <v>0</v>
      </c>
      <c r="O486" s="98" t="str">
        <f t="shared" si="54"/>
        <v/>
      </c>
      <c r="P486" s="80" t="str">
        <f t="shared" si="56"/>
        <v>-</v>
      </c>
      <c r="Q486" s="75">
        <v>4.6199999999999997E-8</v>
      </c>
      <c r="R486" s="175" t="str">
        <f>IF(OR('Inventaire M-1'!D238="Dispo/Liquidité Investie",'Inventaire M-1'!D238="Option/Future",'Inventaire M-1'!D238="TCN",'Inventaire M-1'!D238=""),"-",'Inventaire M-1'!A238)</f>
        <v>-</v>
      </c>
      <c r="S486" s="175" t="str">
        <f>IF(OR('Inventaire M-1'!D238="Dispo/Liquidité Investie",'Inventaire M-1'!D238="Option/Future",'Inventaire M-1'!D238="TCN",'Inventaire M-1'!D238=""),"-",'Inventaire M-1'!B238)</f>
        <v>-</v>
      </c>
      <c r="T486" s="175"/>
      <c r="U486" s="175" t="str">
        <f>IF(R486="-","",INDEX('Inventaire M-1'!$A$2:$AG$9334,MATCH(R486,'Inventaire M-1'!$A:$A,0)-1,MATCH("Cours EUR",'Inventaire M-1'!#REF!,0)))</f>
        <v/>
      </c>
      <c r="V486" s="175" t="str">
        <f>IF(R486="-","",IF(ISERROR(INDEX('Inventaire M'!$A$2:$AD$9319,MATCH(R486,'Inventaire M'!$A:$A,0)-1,MATCH("Cours EUR",'Inventaire M'!#REF!,0))),"Sell",INDEX('Inventaire M'!$A$2:$AD$9319,MATCH(R486,'Inventaire M'!$A:$A,0)-1,MATCH("Cours EUR",'Inventaire M'!#REF!,0))))</f>
        <v/>
      </c>
      <c r="W486" s="175"/>
      <c r="X486" s="156" t="str">
        <f>IF(R486="-","",INDEX('Inventaire M-1'!$A$2:$AG$9334,MATCH(R486,'Inventaire M-1'!$A:$A,0)-1,MATCH("quantite",'Inventaire M-1'!#REF!,0)))</f>
        <v/>
      </c>
      <c r="Y486" s="156" t="str">
        <f>IF(S486="-","",IF(ISERROR(INDEX('Inventaire M'!$A$2:$AD$9319,MATCH(R486,'Inventaire M'!$A:$A,0)-1,MATCH("quantite",'Inventaire M'!#REF!,0))),"Sell",INDEX('Inventaire M'!$A$2:$AD$9319,MATCH(R486,'Inventaire M'!$A:$A,0)-1,MATCH("quantite",'Inventaire M'!#REF!,0))))</f>
        <v/>
      </c>
      <c r="Z486" s="175"/>
      <c r="AA486" s="155" t="str">
        <f>IF(R486="-","",INDEX('Inventaire M-1'!$A$2:$AG$9334,MATCH(R486,'Inventaire M-1'!$A:$A,0)-1,MATCH("poids",'Inventaire M-1'!#REF!,0)))</f>
        <v/>
      </c>
      <c r="AB486" s="155" t="str">
        <f>IF(R486="-","",IF(ISERROR(INDEX('Inventaire M'!$A$2:$AD$9319,MATCH(R486,'Inventaire M'!$A:$A,0)-1,MATCH("poids",'Inventaire M'!#REF!,0))),"Sell",INDEX('Inventaire M'!$A$2:$AD$9319,MATCH(R486,'Inventaire M'!$A:$A,0)-1,MATCH("poids",'Inventaire M'!#REF!,0))))</f>
        <v/>
      </c>
      <c r="AC486" s="175"/>
      <c r="AD486" s="157" t="str">
        <f t="shared" si="57"/>
        <v>0</v>
      </c>
      <c r="AE486" s="98" t="str">
        <f t="shared" si="58"/>
        <v/>
      </c>
      <c r="AF486" s="80" t="str">
        <f t="shared" si="59"/>
        <v>-</v>
      </c>
    </row>
    <row r="487" spans="2:32" outlineLevel="1">
      <c r="B487" s="175" t="str">
        <f>IF(OR('Inventaire M'!D260="Dispo/Liquidité Investie",'Inventaire M'!D260="Option/Future",'Inventaire M'!D260="TCN",'Inventaire M'!D260=""),"-",'Inventaire M'!A260)</f>
        <v>-</v>
      </c>
      <c r="C487" s="175" t="str">
        <f>IF(OR('Inventaire M'!D260="Dispo/Liquidité Investie",'Inventaire M'!D260="Option/Future",'Inventaire M'!D260="TCN",'Inventaire M'!D260=""),"-",'Inventaire M'!B260)</f>
        <v>-</v>
      </c>
      <c r="D487" s="175"/>
      <c r="E487" s="175" t="str">
        <f>IF(B487="-","",INDEX('Inventaire M'!$A$2:$AW$9305,MATCH(B487,'Inventaire M'!$A:$A,0)-1,MATCH("Cours EUR",'Inventaire M'!#REF!,0)))</f>
        <v/>
      </c>
      <c r="F487" s="175" t="str">
        <f>IF(B487="-","",IF(ISERROR(INDEX('Inventaire M-1'!$A$2:$AZ$9320,MATCH(B487,'Inventaire M-1'!$A:$A,0)-1,MATCH("Cours EUR",'Inventaire M-1'!#REF!,0))),"Buy",INDEX('Inventaire M-1'!$A$2:$AZ$9320,MATCH(B487,'Inventaire M-1'!$A:$A,0)-1,MATCH("Cours EUR",'Inventaire M-1'!#REF!,0))))</f>
        <v/>
      </c>
      <c r="G487" s="175"/>
      <c r="H487" s="156" t="str">
        <f>IF(B487="-","",INDEX('Inventaire M'!$A$2:$AW$9305,MATCH(B487,'Inventaire M'!$A:$A,0)-1,MATCH("quantite",'Inventaire M'!#REF!,0)))</f>
        <v/>
      </c>
      <c r="I487" s="156" t="str">
        <f>IF(C487="-","",IF(ISERROR(INDEX('Inventaire M-1'!$A$2:$AZ$9320,MATCH(B487,'Inventaire M-1'!$A:$A,0)-1,MATCH("quantite",'Inventaire M-1'!#REF!,0))),"Buy",INDEX('Inventaire M-1'!$A$2:$AZ$9320,MATCH(B487,'Inventaire M-1'!$A:$A,0)-1,MATCH("quantite",'Inventaire M-1'!#REF!,0))))</f>
        <v/>
      </c>
      <c r="J487" s="175"/>
      <c r="K487" s="155" t="str">
        <f>IF(B487="-","",INDEX('Inventaire M'!$A$2:$AW$9305,MATCH(B487,'Inventaire M'!$A:$A,0)-1,MATCH("poids",'Inventaire M'!#REF!,0)))</f>
        <v/>
      </c>
      <c r="L487" s="155" t="str">
        <f>IF(B487="-","",IF(ISERROR(INDEX('Inventaire M-1'!$A$2:$AZ$9320,MATCH(B487,'Inventaire M-1'!$A:$A,0)-1,MATCH("poids",'Inventaire M-1'!#REF!,0))),"Buy",INDEX('Inventaire M-1'!$A$2:$AZ$9320,MATCH(B487,'Inventaire M-1'!$A:$A,0)-1,MATCH("poids",'Inventaire M-1'!#REF!,0))))</f>
        <v/>
      </c>
      <c r="M487" s="175"/>
      <c r="N487" s="157" t="str">
        <f t="shared" si="55"/>
        <v>0</v>
      </c>
      <c r="O487" s="98" t="str">
        <f t="shared" si="54"/>
        <v/>
      </c>
      <c r="P487" s="80" t="str">
        <f t="shared" si="56"/>
        <v>-</v>
      </c>
      <c r="Q487" s="75">
        <v>4.6299999999999998E-8</v>
      </c>
      <c r="R487" s="175" t="str">
        <f>IF(OR('Inventaire M-1'!D239="Dispo/Liquidité Investie",'Inventaire M-1'!D239="Option/Future",'Inventaire M-1'!D239="TCN",'Inventaire M-1'!D239=""),"-",'Inventaire M-1'!A239)</f>
        <v>-</v>
      </c>
      <c r="S487" s="175" t="str">
        <f>IF(OR('Inventaire M-1'!D239="Dispo/Liquidité Investie",'Inventaire M-1'!D239="Option/Future",'Inventaire M-1'!D239="TCN",'Inventaire M-1'!D239=""),"-",'Inventaire M-1'!B239)</f>
        <v>-</v>
      </c>
      <c r="T487" s="175"/>
      <c r="U487" s="175" t="str">
        <f>IF(R487="-","",INDEX('Inventaire M-1'!$A$2:$AG$9334,MATCH(R487,'Inventaire M-1'!$A:$A,0)-1,MATCH("Cours EUR",'Inventaire M-1'!#REF!,0)))</f>
        <v/>
      </c>
      <c r="V487" s="175" t="str">
        <f>IF(R487="-","",IF(ISERROR(INDEX('Inventaire M'!$A$2:$AD$9319,MATCH(R487,'Inventaire M'!$A:$A,0)-1,MATCH("Cours EUR",'Inventaire M'!#REF!,0))),"Sell",INDEX('Inventaire M'!$A$2:$AD$9319,MATCH(R487,'Inventaire M'!$A:$A,0)-1,MATCH("Cours EUR",'Inventaire M'!#REF!,0))))</f>
        <v/>
      </c>
      <c r="W487" s="175"/>
      <c r="X487" s="156" t="str">
        <f>IF(R487="-","",INDEX('Inventaire M-1'!$A$2:$AG$9334,MATCH(R487,'Inventaire M-1'!$A:$A,0)-1,MATCH("quantite",'Inventaire M-1'!#REF!,0)))</f>
        <v/>
      </c>
      <c r="Y487" s="156" t="str">
        <f>IF(S487="-","",IF(ISERROR(INDEX('Inventaire M'!$A$2:$AD$9319,MATCH(R487,'Inventaire M'!$A:$A,0)-1,MATCH("quantite",'Inventaire M'!#REF!,0))),"Sell",INDEX('Inventaire M'!$A$2:$AD$9319,MATCH(R487,'Inventaire M'!$A:$A,0)-1,MATCH("quantite",'Inventaire M'!#REF!,0))))</f>
        <v/>
      </c>
      <c r="Z487" s="175"/>
      <c r="AA487" s="155" t="str">
        <f>IF(R487="-","",INDEX('Inventaire M-1'!$A$2:$AG$9334,MATCH(R487,'Inventaire M-1'!$A:$A,0)-1,MATCH("poids",'Inventaire M-1'!#REF!,0)))</f>
        <v/>
      </c>
      <c r="AB487" s="155" t="str">
        <f>IF(R487="-","",IF(ISERROR(INDEX('Inventaire M'!$A$2:$AD$9319,MATCH(R487,'Inventaire M'!$A:$A,0)-1,MATCH("poids",'Inventaire M'!#REF!,0))),"Sell",INDEX('Inventaire M'!$A$2:$AD$9319,MATCH(R487,'Inventaire M'!$A:$A,0)-1,MATCH("poids",'Inventaire M'!#REF!,0))))</f>
        <v/>
      </c>
      <c r="AC487" s="175"/>
      <c r="AD487" s="157" t="str">
        <f t="shared" si="57"/>
        <v>0</v>
      </c>
      <c r="AE487" s="98" t="str">
        <f t="shared" si="58"/>
        <v/>
      </c>
      <c r="AF487" s="80" t="str">
        <f t="shared" si="59"/>
        <v>-</v>
      </c>
    </row>
    <row r="488" spans="2:32" outlineLevel="1">
      <c r="B488" s="175" t="str">
        <f>IF(OR('Inventaire M'!D261="Dispo/Liquidité Investie",'Inventaire M'!D261="Option/Future",'Inventaire M'!D261="TCN",'Inventaire M'!D261=""),"-",'Inventaire M'!A261)</f>
        <v>-</v>
      </c>
      <c r="C488" s="175" t="str">
        <f>IF(OR('Inventaire M'!D261="Dispo/Liquidité Investie",'Inventaire M'!D261="Option/Future",'Inventaire M'!D261="TCN",'Inventaire M'!D261=""),"-",'Inventaire M'!B261)</f>
        <v>-</v>
      </c>
      <c r="D488" s="175"/>
      <c r="E488" s="175" t="str">
        <f>IF(B488="-","",INDEX('Inventaire M'!$A$2:$AW$9305,MATCH(B488,'Inventaire M'!$A:$A,0)-1,MATCH("Cours EUR",'Inventaire M'!#REF!,0)))</f>
        <v/>
      </c>
      <c r="F488" s="175" t="str">
        <f>IF(B488="-","",IF(ISERROR(INDEX('Inventaire M-1'!$A$2:$AZ$9320,MATCH(B488,'Inventaire M-1'!$A:$A,0)-1,MATCH("Cours EUR",'Inventaire M-1'!#REF!,0))),"Buy",INDEX('Inventaire M-1'!$A$2:$AZ$9320,MATCH(B488,'Inventaire M-1'!$A:$A,0)-1,MATCH("Cours EUR",'Inventaire M-1'!#REF!,0))))</f>
        <v/>
      </c>
      <c r="G488" s="175"/>
      <c r="H488" s="156" t="str">
        <f>IF(B488="-","",INDEX('Inventaire M'!$A$2:$AW$9305,MATCH(B488,'Inventaire M'!$A:$A,0)-1,MATCH("quantite",'Inventaire M'!#REF!,0)))</f>
        <v/>
      </c>
      <c r="I488" s="156" t="str">
        <f>IF(C488="-","",IF(ISERROR(INDEX('Inventaire M-1'!$A$2:$AZ$9320,MATCH(B488,'Inventaire M-1'!$A:$A,0)-1,MATCH("quantite",'Inventaire M-1'!#REF!,0))),"Buy",INDEX('Inventaire M-1'!$A$2:$AZ$9320,MATCH(B488,'Inventaire M-1'!$A:$A,0)-1,MATCH("quantite",'Inventaire M-1'!#REF!,0))))</f>
        <v/>
      </c>
      <c r="J488" s="175"/>
      <c r="K488" s="155" t="str">
        <f>IF(B488="-","",INDEX('Inventaire M'!$A$2:$AW$9305,MATCH(B488,'Inventaire M'!$A:$A,0)-1,MATCH("poids",'Inventaire M'!#REF!,0)))</f>
        <v/>
      </c>
      <c r="L488" s="155" t="str">
        <f>IF(B488="-","",IF(ISERROR(INDEX('Inventaire M-1'!$A$2:$AZ$9320,MATCH(B488,'Inventaire M-1'!$A:$A,0)-1,MATCH("poids",'Inventaire M-1'!#REF!,0))),"Buy",INDEX('Inventaire M-1'!$A$2:$AZ$9320,MATCH(B488,'Inventaire M-1'!$A:$A,0)-1,MATCH("poids",'Inventaire M-1'!#REF!,0))))</f>
        <v/>
      </c>
      <c r="M488" s="175"/>
      <c r="N488" s="157" t="str">
        <f t="shared" si="55"/>
        <v>0</v>
      </c>
      <c r="O488" s="98" t="str">
        <f t="shared" si="54"/>
        <v/>
      </c>
      <c r="P488" s="80" t="str">
        <f t="shared" si="56"/>
        <v>-</v>
      </c>
      <c r="Q488" s="75">
        <v>4.6399999999999999E-8</v>
      </c>
      <c r="R488" s="175" t="str">
        <f>IF(OR('Inventaire M-1'!D240="Dispo/Liquidité Investie",'Inventaire M-1'!D240="Option/Future",'Inventaire M-1'!D240="TCN",'Inventaire M-1'!D240=""),"-",'Inventaire M-1'!A240)</f>
        <v>-</v>
      </c>
      <c r="S488" s="175" t="str">
        <f>IF(OR('Inventaire M-1'!D240="Dispo/Liquidité Investie",'Inventaire M-1'!D240="Option/Future",'Inventaire M-1'!D240="TCN",'Inventaire M-1'!D240=""),"-",'Inventaire M-1'!B240)</f>
        <v>-</v>
      </c>
      <c r="T488" s="175"/>
      <c r="U488" s="175" t="str">
        <f>IF(R488="-","",INDEX('Inventaire M-1'!$A$2:$AG$9334,MATCH(R488,'Inventaire M-1'!$A:$A,0)-1,MATCH("Cours EUR",'Inventaire M-1'!#REF!,0)))</f>
        <v/>
      </c>
      <c r="V488" s="175" t="str">
        <f>IF(R488="-","",IF(ISERROR(INDEX('Inventaire M'!$A$2:$AD$9319,MATCH(R488,'Inventaire M'!$A:$A,0)-1,MATCH("Cours EUR",'Inventaire M'!#REF!,0))),"Sell",INDEX('Inventaire M'!$A$2:$AD$9319,MATCH(R488,'Inventaire M'!$A:$A,0)-1,MATCH("Cours EUR",'Inventaire M'!#REF!,0))))</f>
        <v/>
      </c>
      <c r="W488" s="175"/>
      <c r="X488" s="156" t="str">
        <f>IF(R488="-","",INDEX('Inventaire M-1'!$A$2:$AG$9334,MATCH(R488,'Inventaire M-1'!$A:$A,0)-1,MATCH("quantite",'Inventaire M-1'!#REF!,0)))</f>
        <v/>
      </c>
      <c r="Y488" s="156" t="str">
        <f>IF(S488="-","",IF(ISERROR(INDEX('Inventaire M'!$A$2:$AD$9319,MATCH(R488,'Inventaire M'!$A:$A,0)-1,MATCH("quantite",'Inventaire M'!#REF!,0))),"Sell",INDEX('Inventaire M'!$A$2:$AD$9319,MATCH(R488,'Inventaire M'!$A:$A,0)-1,MATCH("quantite",'Inventaire M'!#REF!,0))))</f>
        <v/>
      </c>
      <c r="Z488" s="175"/>
      <c r="AA488" s="155" t="str">
        <f>IF(R488="-","",INDEX('Inventaire M-1'!$A$2:$AG$9334,MATCH(R488,'Inventaire M-1'!$A:$A,0)-1,MATCH("poids",'Inventaire M-1'!#REF!,0)))</f>
        <v/>
      </c>
      <c r="AB488" s="155" t="str">
        <f>IF(R488="-","",IF(ISERROR(INDEX('Inventaire M'!$A$2:$AD$9319,MATCH(R488,'Inventaire M'!$A:$A,0)-1,MATCH("poids",'Inventaire M'!#REF!,0))),"Sell",INDEX('Inventaire M'!$A$2:$AD$9319,MATCH(R488,'Inventaire M'!$A:$A,0)-1,MATCH("poids",'Inventaire M'!#REF!,0))))</f>
        <v/>
      </c>
      <c r="AC488" s="175"/>
      <c r="AD488" s="157" t="str">
        <f t="shared" si="57"/>
        <v>0</v>
      </c>
      <c r="AE488" s="98" t="str">
        <f t="shared" si="58"/>
        <v/>
      </c>
      <c r="AF488" s="80" t="str">
        <f t="shared" si="59"/>
        <v>-</v>
      </c>
    </row>
    <row r="489" spans="2:32" outlineLevel="1">
      <c r="B489" s="175" t="str">
        <f>IF(OR('Inventaire M'!D262="Dispo/Liquidité Investie",'Inventaire M'!D262="Option/Future",'Inventaire M'!D262="TCN",'Inventaire M'!D262=""),"-",'Inventaire M'!A262)</f>
        <v>-</v>
      </c>
      <c r="C489" s="175" t="str">
        <f>IF(OR('Inventaire M'!D262="Dispo/Liquidité Investie",'Inventaire M'!D262="Option/Future",'Inventaire M'!D262="TCN",'Inventaire M'!D262=""),"-",'Inventaire M'!B262)</f>
        <v>-</v>
      </c>
      <c r="D489" s="175"/>
      <c r="E489" s="175" t="str">
        <f>IF(B489="-","",INDEX('Inventaire M'!$A$2:$AW$9305,MATCH(B489,'Inventaire M'!$A:$A,0)-1,MATCH("Cours EUR",'Inventaire M'!#REF!,0)))</f>
        <v/>
      </c>
      <c r="F489" s="175" t="str">
        <f>IF(B489="-","",IF(ISERROR(INDEX('Inventaire M-1'!$A$2:$AZ$9320,MATCH(B489,'Inventaire M-1'!$A:$A,0)-1,MATCH("Cours EUR",'Inventaire M-1'!#REF!,0))),"Buy",INDEX('Inventaire M-1'!$A$2:$AZ$9320,MATCH(B489,'Inventaire M-1'!$A:$A,0)-1,MATCH("Cours EUR",'Inventaire M-1'!#REF!,0))))</f>
        <v/>
      </c>
      <c r="G489" s="175"/>
      <c r="H489" s="156" t="str">
        <f>IF(B489="-","",INDEX('Inventaire M'!$A$2:$AW$9305,MATCH(B489,'Inventaire M'!$A:$A,0)-1,MATCH("quantite",'Inventaire M'!#REF!,0)))</f>
        <v/>
      </c>
      <c r="I489" s="156" t="str">
        <f>IF(C489="-","",IF(ISERROR(INDEX('Inventaire M-1'!$A$2:$AZ$9320,MATCH(B489,'Inventaire M-1'!$A:$A,0)-1,MATCH("quantite",'Inventaire M-1'!#REF!,0))),"Buy",INDEX('Inventaire M-1'!$A$2:$AZ$9320,MATCH(B489,'Inventaire M-1'!$A:$A,0)-1,MATCH("quantite",'Inventaire M-1'!#REF!,0))))</f>
        <v/>
      </c>
      <c r="J489" s="175"/>
      <c r="K489" s="155" t="str">
        <f>IF(B489="-","",INDEX('Inventaire M'!$A$2:$AW$9305,MATCH(B489,'Inventaire M'!$A:$A,0)-1,MATCH("poids",'Inventaire M'!#REF!,0)))</f>
        <v/>
      </c>
      <c r="L489" s="155" t="str">
        <f>IF(B489="-","",IF(ISERROR(INDEX('Inventaire M-1'!$A$2:$AZ$9320,MATCH(B489,'Inventaire M-1'!$A:$A,0)-1,MATCH("poids",'Inventaire M-1'!#REF!,0))),"Buy",INDEX('Inventaire M-1'!$A$2:$AZ$9320,MATCH(B489,'Inventaire M-1'!$A:$A,0)-1,MATCH("poids",'Inventaire M-1'!#REF!,0))))</f>
        <v/>
      </c>
      <c r="M489" s="175"/>
      <c r="N489" s="157" t="str">
        <f t="shared" si="55"/>
        <v>0</v>
      </c>
      <c r="O489" s="98" t="str">
        <f t="shared" si="54"/>
        <v/>
      </c>
      <c r="P489" s="80" t="str">
        <f t="shared" si="56"/>
        <v>-</v>
      </c>
      <c r="Q489" s="75">
        <v>4.6499999999999999E-8</v>
      </c>
      <c r="R489" s="175" t="str">
        <f>IF(OR('Inventaire M-1'!D241="Dispo/Liquidité Investie",'Inventaire M-1'!D241="Option/Future",'Inventaire M-1'!D241="TCN",'Inventaire M-1'!D241=""),"-",'Inventaire M-1'!A241)</f>
        <v>-</v>
      </c>
      <c r="S489" s="175" t="str">
        <f>IF(OR('Inventaire M-1'!D241="Dispo/Liquidité Investie",'Inventaire M-1'!D241="Option/Future",'Inventaire M-1'!D241="TCN",'Inventaire M-1'!D241=""),"-",'Inventaire M-1'!B241)</f>
        <v>-</v>
      </c>
      <c r="T489" s="175"/>
      <c r="U489" s="175" t="str">
        <f>IF(R489="-","",INDEX('Inventaire M-1'!$A$2:$AG$9334,MATCH(R489,'Inventaire M-1'!$A:$A,0)-1,MATCH("Cours EUR",'Inventaire M-1'!#REF!,0)))</f>
        <v/>
      </c>
      <c r="V489" s="175" t="str">
        <f>IF(R489="-","",IF(ISERROR(INDEX('Inventaire M'!$A$2:$AD$9319,MATCH(R489,'Inventaire M'!$A:$A,0)-1,MATCH("Cours EUR",'Inventaire M'!#REF!,0))),"Sell",INDEX('Inventaire M'!$A$2:$AD$9319,MATCH(R489,'Inventaire M'!$A:$A,0)-1,MATCH("Cours EUR",'Inventaire M'!#REF!,0))))</f>
        <v/>
      </c>
      <c r="W489" s="175"/>
      <c r="X489" s="156" t="str">
        <f>IF(R489="-","",INDEX('Inventaire M-1'!$A$2:$AG$9334,MATCH(R489,'Inventaire M-1'!$A:$A,0)-1,MATCH("quantite",'Inventaire M-1'!#REF!,0)))</f>
        <v/>
      </c>
      <c r="Y489" s="156" t="str">
        <f>IF(S489="-","",IF(ISERROR(INDEX('Inventaire M'!$A$2:$AD$9319,MATCH(R489,'Inventaire M'!$A:$A,0)-1,MATCH("quantite",'Inventaire M'!#REF!,0))),"Sell",INDEX('Inventaire M'!$A$2:$AD$9319,MATCH(R489,'Inventaire M'!$A:$A,0)-1,MATCH("quantite",'Inventaire M'!#REF!,0))))</f>
        <v/>
      </c>
      <c r="Z489" s="175"/>
      <c r="AA489" s="155" t="str">
        <f>IF(R489="-","",INDEX('Inventaire M-1'!$A$2:$AG$9334,MATCH(R489,'Inventaire M-1'!$A:$A,0)-1,MATCH("poids",'Inventaire M-1'!#REF!,0)))</f>
        <v/>
      </c>
      <c r="AB489" s="155" t="str">
        <f>IF(R489="-","",IF(ISERROR(INDEX('Inventaire M'!$A$2:$AD$9319,MATCH(R489,'Inventaire M'!$A:$A,0)-1,MATCH("poids",'Inventaire M'!#REF!,0))),"Sell",INDEX('Inventaire M'!$A$2:$AD$9319,MATCH(R489,'Inventaire M'!$A:$A,0)-1,MATCH("poids",'Inventaire M'!#REF!,0))))</f>
        <v/>
      </c>
      <c r="AC489" s="175"/>
      <c r="AD489" s="157" t="str">
        <f t="shared" si="57"/>
        <v>0</v>
      </c>
      <c r="AE489" s="98" t="str">
        <f t="shared" si="58"/>
        <v/>
      </c>
      <c r="AF489" s="80" t="str">
        <f t="shared" si="59"/>
        <v>-</v>
      </c>
    </row>
    <row r="490" spans="2:32" outlineLevel="1">
      <c r="B490" s="175" t="str">
        <f>IF(OR('Inventaire M'!D263="Dispo/Liquidité Investie",'Inventaire M'!D263="Option/Future",'Inventaire M'!D263="TCN",'Inventaire M'!D263=""),"-",'Inventaire M'!A263)</f>
        <v>-</v>
      </c>
      <c r="C490" s="175" t="str">
        <f>IF(OR('Inventaire M'!D263="Dispo/Liquidité Investie",'Inventaire M'!D263="Option/Future",'Inventaire M'!D263="TCN",'Inventaire M'!D263=""),"-",'Inventaire M'!B263)</f>
        <v>-</v>
      </c>
      <c r="D490" s="175"/>
      <c r="E490" s="175" t="str">
        <f>IF(B490="-","",INDEX('Inventaire M'!$A$2:$AW$9305,MATCH(B490,'Inventaire M'!$A:$A,0)-1,MATCH("Cours EUR",'Inventaire M'!#REF!,0)))</f>
        <v/>
      </c>
      <c r="F490" s="175" t="str">
        <f>IF(B490="-","",IF(ISERROR(INDEX('Inventaire M-1'!$A$2:$AZ$9320,MATCH(B490,'Inventaire M-1'!$A:$A,0)-1,MATCH("Cours EUR",'Inventaire M-1'!#REF!,0))),"Buy",INDEX('Inventaire M-1'!$A$2:$AZ$9320,MATCH(B490,'Inventaire M-1'!$A:$A,0)-1,MATCH("Cours EUR",'Inventaire M-1'!#REF!,0))))</f>
        <v/>
      </c>
      <c r="G490" s="175"/>
      <c r="H490" s="156" t="str">
        <f>IF(B490="-","",INDEX('Inventaire M'!$A$2:$AW$9305,MATCH(B490,'Inventaire M'!$A:$A,0)-1,MATCH("quantite",'Inventaire M'!#REF!,0)))</f>
        <v/>
      </c>
      <c r="I490" s="156" t="str">
        <f>IF(C490="-","",IF(ISERROR(INDEX('Inventaire M-1'!$A$2:$AZ$9320,MATCH(B490,'Inventaire M-1'!$A:$A,0)-1,MATCH("quantite",'Inventaire M-1'!#REF!,0))),"Buy",INDEX('Inventaire M-1'!$A$2:$AZ$9320,MATCH(B490,'Inventaire M-1'!$A:$A,0)-1,MATCH("quantite",'Inventaire M-1'!#REF!,0))))</f>
        <v/>
      </c>
      <c r="J490" s="175"/>
      <c r="K490" s="155" t="str">
        <f>IF(B490="-","",INDEX('Inventaire M'!$A$2:$AW$9305,MATCH(B490,'Inventaire M'!$A:$A,0)-1,MATCH("poids",'Inventaire M'!#REF!,0)))</f>
        <v/>
      </c>
      <c r="L490" s="155" t="str">
        <f>IF(B490="-","",IF(ISERROR(INDEX('Inventaire M-1'!$A$2:$AZ$9320,MATCH(B490,'Inventaire M-1'!$A:$A,0)-1,MATCH("poids",'Inventaire M-1'!#REF!,0))),"Buy",INDEX('Inventaire M-1'!$A$2:$AZ$9320,MATCH(B490,'Inventaire M-1'!$A:$A,0)-1,MATCH("poids",'Inventaire M-1'!#REF!,0))))</f>
        <v/>
      </c>
      <c r="M490" s="175"/>
      <c r="N490" s="157" t="str">
        <f t="shared" si="55"/>
        <v>0</v>
      </c>
      <c r="O490" s="98" t="str">
        <f t="shared" si="54"/>
        <v/>
      </c>
      <c r="P490" s="80" t="str">
        <f t="shared" si="56"/>
        <v>-</v>
      </c>
      <c r="Q490" s="75">
        <v>4.66E-8</v>
      </c>
      <c r="R490" s="175" t="str">
        <f>IF(OR('Inventaire M-1'!D242="Dispo/Liquidité Investie",'Inventaire M-1'!D242="Option/Future",'Inventaire M-1'!D242="TCN",'Inventaire M-1'!D242=""),"-",'Inventaire M-1'!A242)</f>
        <v>-</v>
      </c>
      <c r="S490" s="175" t="str">
        <f>IF(OR('Inventaire M-1'!D242="Dispo/Liquidité Investie",'Inventaire M-1'!D242="Option/Future",'Inventaire M-1'!D242="TCN",'Inventaire M-1'!D242=""),"-",'Inventaire M-1'!B242)</f>
        <v>-</v>
      </c>
      <c r="T490" s="175"/>
      <c r="U490" s="175" t="str">
        <f>IF(R490="-","",INDEX('Inventaire M-1'!$A$2:$AG$9334,MATCH(R490,'Inventaire M-1'!$A:$A,0)-1,MATCH("Cours EUR",'Inventaire M-1'!#REF!,0)))</f>
        <v/>
      </c>
      <c r="V490" s="175" t="str">
        <f>IF(R490="-","",IF(ISERROR(INDEX('Inventaire M'!$A$2:$AD$9319,MATCH(R490,'Inventaire M'!$A:$A,0)-1,MATCH("Cours EUR",'Inventaire M'!#REF!,0))),"Sell",INDEX('Inventaire M'!$A$2:$AD$9319,MATCH(R490,'Inventaire M'!$A:$A,0)-1,MATCH("Cours EUR",'Inventaire M'!#REF!,0))))</f>
        <v/>
      </c>
      <c r="W490" s="175"/>
      <c r="X490" s="156" t="str">
        <f>IF(R490="-","",INDEX('Inventaire M-1'!$A$2:$AG$9334,MATCH(R490,'Inventaire M-1'!$A:$A,0)-1,MATCH("quantite",'Inventaire M-1'!#REF!,0)))</f>
        <v/>
      </c>
      <c r="Y490" s="156" t="str">
        <f>IF(S490="-","",IF(ISERROR(INDEX('Inventaire M'!$A$2:$AD$9319,MATCH(R490,'Inventaire M'!$A:$A,0)-1,MATCH("quantite",'Inventaire M'!#REF!,0))),"Sell",INDEX('Inventaire M'!$A$2:$AD$9319,MATCH(R490,'Inventaire M'!$A:$A,0)-1,MATCH("quantite",'Inventaire M'!#REF!,0))))</f>
        <v/>
      </c>
      <c r="Z490" s="175"/>
      <c r="AA490" s="155" t="str">
        <f>IF(R490="-","",INDEX('Inventaire M-1'!$A$2:$AG$9334,MATCH(R490,'Inventaire M-1'!$A:$A,0)-1,MATCH("poids",'Inventaire M-1'!#REF!,0)))</f>
        <v/>
      </c>
      <c r="AB490" s="155" t="str">
        <f>IF(R490="-","",IF(ISERROR(INDEX('Inventaire M'!$A$2:$AD$9319,MATCH(R490,'Inventaire M'!$A:$A,0)-1,MATCH("poids",'Inventaire M'!#REF!,0))),"Sell",INDEX('Inventaire M'!$A$2:$AD$9319,MATCH(R490,'Inventaire M'!$A:$A,0)-1,MATCH("poids",'Inventaire M'!#REF!,0))))</f>
        <v/>
      </c>
      <c r="AC490" s="175"/>
      <c r="AD490" s="157" t="str">
        <f t="shared" si="57"/>
        <v>0</v>
      </c>
      <c r="AE490" s="98" t="str">
        <f t="shared" si="58"/>
        <v/>
      </c>
      <c r="AF490" s="80" t="str">
        <f t="shared" si="59"/>
        <v>-</v>
      </c>
    </row>
    <row r="491" spans="2:32" outlineLevel="1">
      <c r="B491" s="175" t="str">
        <f>IF(OR('Inventaire M'!D264="Dispo/Liquidité Investie",'Inventaire M'!D264="Option/Future",'Inventaire M'!D264="TCN",'Inventaire M'!D264=""),"-",'Inventaire M'!A264)</f>
        <v>-</v>
      </c>
      <c r="C491" s="175" t="str">
        <f>IF(OR('Inventaire M'!D264="Dispo/Liquidité Investie",'Inventaire M'!D264="Option/Future",'Inventaire M'!D264="TCN",'Inventaire M'!D264=""),"-",'Inventaire M'!B264)</f>
        <v>-</v>
      </c>
      <c r="D491" s="175"/>
      <c r="E491" s="175" t="str">
        <f>IF(B491="-","",INDEX('Inventaire M'!$A$2:$AW$9305,MATCH(B491,'Inventaire M'!$A:$A,0)-1,MATCH("Cours EUR",'Inventaire M'!#REF!,0)))</f>
        <v/>
      </c>
      <c r="F491" s="175" t="str">
        <f>IF(B491="-","",IF(ISERROR(INDEX('Inventaire M-1'!$A$2:$AZ$9320,MATCH(B491,'Inventaire M-1'!$A:$A,0)-1,MATCH("Cours EUR",'Inventaire M-1'!#REF!,0))),"Buy",INDEX('Inventaire M-1'!$A$2:$AZ$9320,MATCH(B491,'Inventaire M-1'!$A:$A,0)-1,MATCH("Cours EUR",'Inventaire M-1'!#REF!,0))))</f>
        <v/>
      </c>
      <c r="G491" s="175"/>
      <c r="H491" s="156" t="str">
        <f>IF(B491="-","",INDEX('Inventaire M'!$A$2:$AW$9305,MATCH(B491,'Inventaire M'!$A:$A,0)-1,MATCH("quantite",'Inventaire M'!#REF!,0)))</f>
        <v/>
      </c>
      <c r="I491" s="156" t="str">
        <f>IF(C491="-","",IF(ISERROR(INDEX('Inventaire M-1'!$A$2:$AZ$9320,MATCH(B491,'Inventaire M-1'!$A:$A,0)-1,MATCH("quantite",'Inventaire M-1'!#REF!,0))),"Buy",INDEX('Inventaire M-1'!$A$2:$AZ$9320,MATCH(B491,'Inventaire M-1'!$A:$A,0)-1,MATCH("quantite",'Inventaire M-1'!#REF!,0))))</f>
        <v/>
      </c>
      <c r="J491" s="175"/>
      <c r="K491" s="155" t="str">
        <f>IF(B491="-","",INDEX('Inventaire M'!$A$2:$AW$9305,MATCH(B491,'Inventaire M'!$A:$A,0)-1,MATCH("poids",'Inventaire M'!#REF!,0)))</f>
        <v/>
      </c>
      <c r="L491" s="155" t="str">
        <f>IF(B491="-","",IF(ISERROR(INDEX('Inventaire M-1'!$A$2:$AZ$9320,MATCH(B491,'Inventaire M-1'!$A:$A,0)-1,MATCH("poids",'Inventaire M-1'!#REF!,0))),"Buy",INDEX('Inventaire M-1'!$A$2:$AZ$9320,MATCH(B491,'Inventaire M-1'!$A:$A,0)-1,MATCH("poids",'Inventaire M-1'!#REF!,0))))</f>
        <v/>
      </c>
      <c r="M491" s="175"/>
      <c r="N491" s="157" t="str">
        <f t="shared" si="55"/>
        <v>0</v>
      </c>
      <c r="O491" s="98" t="str">
        <f t="shared" si="54"/>
        <v/>
      </c>
      <c r="P491" s="80" t="str">
        <f t="shared" si="56"/>
        <v>-</v>
      </c>
      <c r="Q491" s="75">
        <v>4.6700000000000001E-8</v>
      </c>
      <c r="R491" s="175" t="str">
        <f>IF(OR('Inventaire M-1'!D243="Dispo/Liquidité Investie",'Inventaire M-1'!D243="Option/Future",'Inventaire M-1'!D243="TCN",'Inventaire M-1'!D243=""),"-",'Inventaire M-1'!A243)</f>
        <v>-</v>
      </c>
      <c r="S491" s="175" t="str">
        <f>IF(OR('Inventaire M-1'!D243="Dispo/Liquidité Investie",'Inventaire M-1'!D243="Option/Future",'Inventaire M-1'!D243="TCN",'Inventaire M-1'!D243=""),"-",'Inventaire M-1'!B243)</f>
        <v>-</v>
      </c>
      <c r="T491" s="175"/>
      <c r="U491" s="175" t="str">
        <f>IF(R491="-","",INDEX('Inventaire M-1'!$A$2:$AG$9334,MATCH(R491,'Inventaire M-1'!$A:$A,0)-1,MATCH("Cours EUR",'Inventaire M-1'!#REF!,0)))</f>
        <v/>
      </c>
      <c r="V491" s="175" t="str">
        <f>IF(R491="-","",IF(ISERROR(INDEX('Inventaire M'!$A$2:$AD$9319,MATCH(R491,'Inventaire M'!$A:$A,0)-1,MATCH("Cours EUR",'Inventaire M'!#REF!,0))),"Sell",INDEX('Inventaire M'!$A$2:$AD$9319,MATCH(R491,'Inventaire M'!$A:$A,0)-1,MATCH("Cours EUR",'Inventaire M'!#REF!,0))))</f>
        <v/>
      </c>
      <c r="W491" s="175"/>
      <c r="X491" s="156" t="str">
        <f>IF(R491="-","",INDEX('Inventaire M-1'!$A$2:$AG$9334,MATCH(R491,'Inventaire M-1'!$A:$A,0)-1,MATCH("quantite",'Inventaire M-1'!#REF!,0)))</f>
        <v/>
      </c>
      <c r="Y491" s="156" t="str">
        <f>IF(S491="-","",IF(ISERROR(INDEX('Inventaire M'!$A$2:$AD$9319,MATCH(R491,'Inventaire M'!$A:$A,0)-1,MATCH("quantite",'Inventaire M'!#REF!,0))),"Sell",INDEX('Inventaire M'!$A$2:$AD$9319,MATCH(R491,'Inventaire M'!$A:$A,0)-1,MATCH("quantite",'Inventaire M'!#REF!,0))))</f>
        <v/>
      </c>
      <c r="Z491" s="175"/>
      <c r="AA491" s="155" t="str">
        <f>IF(R491="-","",INDEX('Inventaire M-1'!$A$2:$AG$9334,MATCH(R491,'Inventaire M-1'!$A:$A,0)-1,MATCH("poids",'Inventaire M-1'!#REF!,0)))</f>
        <v/>
      </c>
      <c r="AB491" s="155" t="str">
        <f>IF(R491="-","",IF(ISERROR(INDEX('Inventaire M'!$A$2:$AD$9319,MATCH(R491,'Inventaire M'!$A:$A,0)-1,MATCH("poids",'Inventaire M'!#REF!,0))),"Sell",INDEX('Inventaire M'!$A$2:$AD$9319,MATCH(R491,'Inventaire M'!$A:$A,0)-1,MATCH("poids",'Inventaire M'!#REF!,0))))</f>
        <v/>
      </c>
      <c r="AC491" s="175"/>
      <c r="AD491" s="157" t="str">
        <f t="shared" si="57"/>
        <v>0</v>
      </c>
      <c r="AE491" s="98" t="str">
        <f t="shared" si="58"/>
        <v/>
      </c>
      <c r="AF491" s="80" t="str">
        <f t="shared" si="59"/>
        <v>-</v>
      </c>
    </row>
    <row r="492" spans="2:32" outlineLevel="1">
      <c r="B492" s="175" t="str">
        <f>IF(OR('Inventaire M'!D265="Dispo/Liquidité Investie",'Inventaire M'!D265="Option/Future",'Inventaire M'!D265="TCN",'Inventaire M'!D265=""),"-",'Inventaire M'!A265)</f>
        <v>-</v>
      </c>
      <c r="C492" s="175" t="str">
        <f>IF(OR('Inventaire M'!D265="Dispo/Liquidité Investie",'Inventaire M'!D265="Option/Future",'Inventaire M'!D265="TCN",'Inventaire M'!D265=""),"-",'Inventaire M'!B265)</f>
        <v>-</v>
      </c>
      <c r="D492" s="175"/>
      <c r="E492" s="175" t="str">
        <f>IF(B492="-","",INDEX('Inventaire M'!$A$2:$AW$9305,MATCH(B492,'Inventaire M'!$A:$A,0)-1,MATCH("Cours EUR",'Inventaire M'!#REF!,0)))</f>
        <v/>
      </c>
      <c r="F492" s="175" t="str">
        <f>IF(B492="-","",IF(ISERROR(INDEX('Inventaire M-1'!$A$2:$AZ$9320,MATCH(B492,'Inventaire M-1'!$A:$A,0)-1,MATCH("Cours EUR",'Inventaire M-1'!#REF!,0))),"Buy",INDEX('Inventaire M-1'!$A$2:$AZ$9320,MATCH(B492,'Inventaire M-1'!$A:$A,0)-1,MATCH("Cours EUR",'Inventaire M-1'!#REF!,0))))</f>
        <v/>
      </c>
      <c r="G492" s="175"/>
      <c r="H492" s="156" t="str">
        <f>IF(B492="-","",INDEX('Inventaire M'!$A$2:$AW$9305,MATCH(B492,'Inventaire M'!$A:$A,0)-1,MATCH("quantite",'Inventaire M'!#REF!,0)))</f>
        <v/>
      </c>
      <c r="I492" s="156" t="str">
        <f>IF(C492="-","",IF(ISERROR(INDEX('Inventaire M-1'!$A$2:$AZ$9320,MATCH(B492,'Inventaire M-1'!$A:$A,0)-1,MATCH("quantite",'Inventaire M-1'!#REF!,0))),"Buy",INDEX('Inventaire M-1'!$A$2:$AZ$9320,MATCH(B492,'Inventaire M-1'!$A:$A,0)-1,MATCH("quantite",'Inventaire M-1'!#REF!,0))))</f>
        <v/>
      </c>
      <c r="J492" s="175"/>
      <c r="K492" s="155" t="str">
        <f>IF(B492="-","",INDEX('Inventaire M'!$A$2:$AW$9305,MATCH(B492,'Inventaire M'!$A:$A,0)-1,MATCH("poids",'Inventaire M'!#REF!,0)))</f>
        <v/>
      </c>
      <c r="L492" s="155" t="str">
        <f>IF(B492="-","",IF(ISERROR(INDEX('Inventaire M-1'!$A$2:$AZ$9320,MATCH(B492,'Inventaire M-1'!$A:$A,0)-1,MATCH("poids",'Inventaire M-1'!#REF!,0))),"Buy",INDEX('Inventaire M-1'!$A$2:$AZ$9320,MATCH(B492,'Inventaire M-1'!$A:$A,0)-1,MATCH("poids",'Inventaire M-1'!#REF!,0))))</f>
        <v/>
      </c>
      <c r="M492" s="175"/>
      <c r="N492" s="157" t="str">
        <f t="shared" si="55"/>
        <v>0</v>
      </c>
      <c r="O492" s="98" t="str">
        <f t="shared" si="54"/>
        <v/>
      </c>
      <c r="P492" s="80" t="str">
        <f t="shared" si="56"/>
        <v>-</v>
      </c>
      <c r="Q492" s="75">
        <v>4.6800000000000002E-8</v>
      </c>
      <c r="R492" s="175" t="str">
        <f>IF(OR('Inventaire M-1'!D244="Dispo/Liquidité Investie",'Inventaire M-1'!D244="Option/Future",'Inventaire M-1'!D244="TCN",'Inventaire M-1'!D244=""),"-",'Inventaire M-1'!A244)</f>
        <v>-</v>
      </c>
      <c r="S492" s="175" t="str">
        <f>IF(OR('Inventaire M-1'!D244="Dispo/Liquidité Investie",'Inventaire M-1'!D244="Option/Future",'Inventaire M-1'!D244="TCN",'Inventaire M-1'!D244=""),"-",'Inventaire M-1'!B244)</f>
        <v>-</v>
      </c>
      <c r="T492" s="175"/>
      <c r="U492" s="175" t="str">
        <f>IF(R492="-","",INDEX('Inventaire M-1'!$A$2:$AG$9334,MATCH(R492,'Inventaire M-1'!$A:$A,0)-1,MATCH("Cours EUR",'Inventaire M-1'!#REF!,0)))</f>
        <v/>
      </c>
      <c r="V492" s="175" t="str">
        <f>IF(R492="-","",IF(ISERROR(INDEX('Inventaire M'!$A$2:$AD$9319,MATCH(R492,'Inventaire M'!$A:$A,0)-1,MATCH("Cours EUR",'Inventaire M'!#REF!,0))),"Sell",INDEX('Inventaire M'!$A$2:$AD$9319,MATCH(R492,'Inventaire M'!$A:$A,0)-1,MATCH("Cours EUR",'Inventaire M'!#REF!,0))))</f>
        <v/>
      </c>
      <c r="W492" s="175"/>
      <c r="X492" s="156" t="str">
        <f>IF(R492="-","",INDEX('Inventaire M-1'!$A$2:$AG$9334,MATCH(R492,'Inventaire M-1'!$A:$A,0)-1,MATCH("quantite",'Inventaire M-1'!#REF!,0)))</f>
        <v/>
      </c>
      <c r="Y492" s="156" t="str">
        <f>IF(S492="-","",IF(ISERROR(INDEX('Inventaire M'!$A$2:$AD$9319,MATCH(R492,'Inventaire M'!$A:$A,0)-1,MATCH("quantite",'Inventaire M'!#REF!,0))),"Sell",INDEX('Inventaire M'!$A$2:$AD$9319,MATCH(R492,'Inventaire M'!$A:$A,0)-1,MATCH("quantite",'Inventaire M'!#REF!,0))))</f>
        <v/>
      </c>
      <c r="Z492" s="175"/>
      <c r="AA492" s="155" t="str">
        <f>IF(R492="-","",INDEX('Inventaire M-1'!$A$2:$AG$9334,MATCH(R492,'Inventaire M-1'!$A:$A,0)-1,MATCH("poids",'Inventaire M-1'!#REF!,0)))</f>
        <v/>
      </c>
      <c r="AB492" s="155" t="str">
        <f>IF(R492="-","",IF(ISERROR(INDEX('Inventaire M'!$A$2:$AD$9319,MATCH(R492,'Inventaire M'!$A:$A,0)-1,MATCH("poids",'Inventaire M'!#REF!,0))),"Sell",INDEX('Inventaire M'!$A$2:$AD$9319,MATCH(R492,'Inventaire M'!$A:$A,0)-1,MATCH("poids",'Inventaire M'!#REF!,0))))</f>
        <v/>
      </c>
      <c r="AC492" s="175"/>
      <c r="AD492" s="157" t="str">
        <f t="shared" si="57"/>
        <v>0</v>
      </c>
      <c r="AE492" s="98" t="str">
        <f t="shared" si="58"/>
        <v/>
      </c>
      <c r="AF492" s="80" t="str">
        <f t="shared" si="59"/>
        <v>-</v>
      </c>
    </row>
    <row r="493" spans="2:32" outlineLevel="1">
      <c r="B493" s="175" t="str">
        <f>IF(OR('Inventaire M'!D266="Dispo/Liquidité Investie",'Inventaire M'!D266="Option/Future",'Inventaire M'!D266="TCN",'Inventaire M'!D266=""),"-",'Inventaire M'!A266)</f>
        <v>-</v>
      </c>
      <c r="C493" s="175" t="str">
        <f>IF(OR('Inventaire M'!D266="Dispo/Liquidité Investie",'Inventaire M'!D266="Option/Future",'Inventaire M'!D266="TCN",'Inventaire M'!D266=""),"-",'Inventaire M'!B266)</f>
        <v>-</v>
      </c>
      <c r="D493" s="175"/>
      <c r="E493" s="175" t="str">
        <f>IF(B493="-","",INDEX('Inventaire M'!$A$2:$AW$9305,MATCH(B493,'Inventaire M'!$A:$A,0)-1,MATCH("Cours EUR",'Inventaire M'!#REF!,0)))</f>
        <v/>
      </c>
      <c r="F493" s="175" t="str">
        <f>IF(B493="-","",IF(ISERROR(INDEX('Inventaire M-1'!$A$2:$AZ$9320,MATCH(B493,'Inventaire M-1'!$A:$A,0)-1,MATCH("Cours EUR",'Inventaire M-1'!#REF!,0))),"Buy",INDEX('Inventaire M-1'!$A$2:$AZ$9320,MATCH(B493,'Inventaire M-1'!$A:$A,0)-1,MATCH("Cours EUR",'Inventaire M-1'!#REF!,0))))</f>
        <v/>
      </c>
      <c r="G493" s="175"/>
      <c r="H493" s="156" t="str">
        <f>IF(B493="-","",INDEX('Inventaire M'!$A$2:$AW$9305,MATCH(B493,'Inventaire M'!$A:$A,0)-1,MATCH("quantite",'Inventaire M'!#REF!,0)))</f>
        <v/>
      </c>
      <c r="I493" s="156" t="str">
        <f>IF(C493="-","",IF(ISERROR(INDEX('Inventaire M-1'!$A$2:$AZ$9320,MATCH(B493,'Inventaire M-1'!$A:$A,0)-1,MATCH("quantite",'Inventaire M-1'!#REF!,0))),"Buy",INDEX('Inventaire M-1'!$A$2:$AZ$9320,MATCH(B493,'Inventaire M-1'!$A:$A,0)-1,MATCH("quantite",'Inventaire M-1'!#REF!,0))))</f>
        <v/>
      </c>
      <c r="J493" s="175"/>
      <c r="K493" s="155" t="str">
        <f>IF(B493="-","",INDEX('Inventaire M'!$A$2:$AW$9305,MATCH(B493,'Inventaire M'!$A:$A,0)-1,MATCH("poids",'Inventaire M'!#REF!,0)))</f>
        <v/>
      </c>
      <c r="L493" s="155" t="str">
        <f>IF(B493="-","",IF(ISERROR(INDEX('Inventaire M-1'!$A$2:$AZ$9320,MATCH(B493,'Inventaire M-1'!$A:$A,0)-1,MATCH("poids",'Inventaire M-1'!#REF!,0))),"Buy",INDEX('Inventaire M-1'!$A$2:$AZ$9320,MATCH(B493,'Inventaire M-1'!$A:$A,0)-1,MATCH("poids",'Inventaire M-1'!#REF!,0))))</f>
        <v/>
      </c>
      <c r="M493" s="175"/>
      <c r="N493" s="157" t="str">
        <f t="shared" si="55"/>
        <v>0</v>
      </c>
      <c r="O493" s="98" t="str">
        <f t="shared" si="54"/>
        <v/>
      </c>
      <c r="P493" s="80" t="str">
        <f t="shared" si="56"/>
        <v>-</v>
      </c>
      <c r="Q493" s="75">
        <v>4.6900000000000003E-8</v>
      </c>
      <c r="R493" s="175" t="str">
        <f>IF(OR('Inventaire M-1'!D245="Dispo/Liquidité Investie",'Inventaire M-1'!D245="Option/Future",'Inventaire M-1'!D245="TCN",'Inventaire M-1'!D245=""),"-",'Inventaire M-1'!A245)</f>
        <v>-</v>
      </c>
      <c r="S493" s="175" t="str">
        <f>IF(OR('Inventaire M-1'!D245="Dispo/Liquidité Investie",'Inventaire M-1'!D245="Option/Future",'Inventaire M-1'!D245="TCN",'Inventaire M-1'!D245=""),"-",'Inventaire M-1'!B245)</f>
        <v>-</v>
      </c>
      <c r="T493" s="175"/>
      <c r="U493" s="175" t="str">
        <f>IF(R493="-","",INDEX('Inventaire M-1'!$A$2:$AG$9334,MATCH(R493,'Inventaire M-1'!$A:$A,0)-1,MATCH("Cours EUR",'Inventaire M-1'!#REF!,0)))</f>
        <v/>
      </c>
      <c r="V493" s="175" t="str">
        <f>IF(R493="-","",IF(ISERROR(INDEX('Inventaire M'!$A$2:$AD$9319,MATCH(R493,'Inventaire M'!$A:$A,0)-1,MATCH("Cours EUR",'Inventaire M'!#REF!,0))),"Sell",INDEX('Inventaire M'!$A$2:$AD$9319,MATCH(R493,'Inventaire M'!$A:$A,0)-1,MATCH("Cours EUR",'Inventaire M'!#REF!,0))))</f>
        <v/>
      </c>
      <c r="W493" s="175"/>
      <c r="X493" s="156" t="str">
        <f>IF(R493="-","",INDEX('Inventaire M-1'!$A$2:$AG$9334,MATCH(R493,'Inventaire M-1'!$A:$A,0)-1,MATCH("quantite",'Inventaire M-1'!#REF!,0)))</f>
        <v/>
      </c>
      <c r="Y493" s="156" t="str">
        <f>IF(S493="-","",IF(ISERROR(INDEX('Inventaire M'!$A$2:$AD$9319,MATCH(R493,'Inventaire M'!$A:$A,0)-1,MATCH("quantite",'Inventaire M'!#REF!,0))),"Sell",INDEX('Inventaire M'!$A$2:$AD$9319,MATCH(R493,'Inventaire M'!$A:$A,0)-1,MATCH("quantite",'Inventaire M'!#REF!,0))))</f>
        <v/>
      </c>
      <c r="Z493" s="175"/>
      <c r="AA493" s="155" t="str">
        <f>IF(R493="-","",INDEX('Inventaire M-1'!$A$2:$AG$9334,MATCH(R493,'Inventaire M-1'!$A:$A,0)-1,MATCH("poids",'Inventaire M-1'!#REF!,0)))</f>
        <v/>
      </c>
      <c r="AB493" s="155" t="str">
        <f>IF(R493="-","",IF(ISERROR(INDEX('Inventaire M'!$A$2:$AD$9319,MATCH(R493,'Inventaire M'!$A:$A,0)-1,MATCH("poids",'Inventaire M'!#REF!,0))),"Sell",INDEX('Inventaire M'!$A$2:$AD$9319,MATCH(R493,'Inventaire M'!$A:$A,0)-1,MATCH("poids",'Inventaire M'!#REF!,0))))</f>
        <v/>
      </c>
      <c r="AC493" s="175"/>
      <c r="AD493" s="157" t="str">
        <f t="shared" si="57"/>
        <v>0</v>
      </c>
      <c r="AE493" s="98" t="str">
        <f t="shared" si="58"/>
        <v/>
      </c>
      <c r="AF493" s="80" t="str">
        <f t="shared" si="59"/>
        <v>-</v>
      </c>
    </row>
    <row r="494" spans="2:32" outlineLevel="1">
      <c r="B494" s="175" t="str">
        <f>IF(OR('Inventaire M'!D267="Dispo/Liquidité Investie",'Inventaire M'!D267="Option/Future",'Inventaire M'!D267="TCN",'Inventaire M'!D267=""),"-",'Inventaire M'!A267)</f>
        <v>-</v>
      </c>
      <c r="C494" s="175" t="str">
        <f>IF(OR('Inventaire M'!D267="Dispo/Liquidité Investie",'Inventaire M'!D267="Option/Future",'Inventaire M'!D267="TCN",'Inventaire M'!D267=""),"-",'Inventaire M'!B267)</f>
        <v>-</v>
      </c>
      <c r="D494" s="175"/>
      <c r="E494" s="175" t="str">
        <f>IF(B494="-","",INDEX('Inventaire M'!$A$2:$AW$9305,MATCH(B494,'Inventaire M'!$A:$A,0)-1,MATCH("Cours EUR",'Inventaire M'!#REF!,0)))</f>
        <v/>
      </c>
      <c r="F494" s="175" t="str">
        <f>IF(B494="-","",IF(ISERROR(INDEX('Inventaire M-1'!$A$2:$AZ$9320,MATCH(B494,'Inventaire M-1'!$A:$A,0)-1,MATCH("Cours EUR",'Inventaire M-1'!#REF!,0))),"Buy",INDEX('Inventaire M-1'!$A$2:$AZ$9320,MATCH(B494,'Inventaire M-1'!$A:$A,0)-1,MATCH("Cours EUR",'Inventaire M-1'!#REF!,0))))</f>
        <v/>
      </c>
      <c r="G494" s="175"/>
      <c r="H494" s="156" t="str">
        <f>IF(B494="-","",INDEX('Inventaire M'!$A$2:$AW$9305,MATCH(B494,'Inventaire M'!$A:$A,0)-1,MATCH("quantite",'Inventaire M'!#REF!,0)))</f>
        <v/>
      </c>
      <c r="I494" s="156" t="str">
        <f>IF(C494="-","",IF(ISERROR(INDEX('Inventaire M-1'!$A$2:$AZ$9320,MATCH(B494,'Inventaire M-1'!$A:$A,0)-1,MATCH("quantite",'Inventaire M-1'!#REF!,0))),"Buy",INDEX('Inventaire M-1'!$A$2:$AZ$9320,MATCH(B494,'Inventaire M-1'!$A:$A,0)-1,MATCH("quantite",'Inventaire M-1'!#REF!,0))))</f>
        <v/>
      </c>
      <c r="J494" s="175"/>
      <c r="K494" s="155" t="str">
        <f>IF(B494="-","",INDEX('Inventaire M'!$A$2:$AW$9305,MATCH(B494,'Inventaire M'!$A:$A,0)-1,MATCH("poids",'Inventaire M'!#REF!,0)))</f>
        <v/>
      </c>
      <c r="L494" s="155" t="str">
        <f>IF(B494="-","",IF(ISERROR(INDEX('Inventaire M-1'!$A$2:$AZ$9320,MATCH(B494,'Inventaire M-1'!$A:$A,0)-1,MATCH("poids",'Inventaire M-1'!#REF!,0))),"Buy",INDEX('Inventaire M-1'!$A$2:$AZ$9320,MATCH(B494,'Inventaire M-1'!$A:$A,0)-1,MATCH("poids",'Inventaire M-1'!#REF!,0))))</f>
        <v/>
      </c>
      <c r="M494" s="175"/>
      <c r="N494" s="157" t="str">
        <f t="shared" si="55"/>
        <v>0</v>
      </c>
      <c r="O494" s="98" t="str">
        <f t="shared" si="54"/>
        <v/>
      </c>
      <c r="P494" s="80" t="str">
        <f t="shared" si="56"/>
        <v>-</v>
      </c>
      <c r="Q494" s="75">
        <v>4.6999999999999997E-8</v>
      </c>
      <c r="R494" s="175" t="str">
        <f>IF(OR('Inventaire M-1'!D246="Dispo/Liquidité Investie",'Inventaire M-1'!D246="Option/Future",'Inventaire M-1'!D246="TCN",'Inventaire M-1'!D246=""),"-",'Inventaire M-1'!A246)</f>
        <v>-</v>
      </c>
      <c r="S494" s="175" t="str">
        <f>IF(OR('Inventaire M-1'!D246="Dispo/Liquidité Investie",'Inventaire M-1'!D246="Option/Future",'Inventaire M-1'!D246="TCN",'Inventaire M-1'!D246=""),"-",'Inventaire M-1'!B246)</f>
        <v>-</v>
      </c>
      <c r="T494" s="175"/>
      <c r="U494" s="175" t="str">
        <f>IF(R494="-","",INDEX('Inventaire M-1'!$A$2:$AG$9334,MATCH(R494,'Inventaire M-1'!$A:$A,0)-1,MATCH("Cours EUR",'Inventaire M-1'!#REF!,0)))</f>
        <v/>
      </c>
      <c r="V494" s="175" t="str">
        <f>IF(R494="-","",IF(ISERROR(INDEX('Inventaire M'!$A$2:$AD$9319,MATCH(R494,'Inventaire M'!$A:$A,0)-1,MATCH("Cours EUR",'Inventaire M'!#REF!,0))),"Sell",INDEX('Inventaire M'!$A$2:$AD$9319,MATCH(R494,'Inventaire M'!$A:$A,0)-1,MATCH("Cours EUR",'Inventaire M'!#REF!,0))))</f>
        <v/>
      </c>
      <c r="W494" s="175"/>
      <c r="X494" s="156" t="str">
        <f>IF(R494="-","",INDEX('Inventaire M-1'!$A$2:$AG$9334,MATCH(R494,'Inventaire M-1'!$A:$A,0)-1,MATCH("quantite",'Inventaire M-1'!#REF!,0)))</f>
        <v/>
      </c>
      <c r="Y494" s="156" t="str">
        <f>IF(S494="-","",IF(ISERROR(INDEX('Inventaire M'!$A$2:$AD$9319,MATCH(R494,'Inventaire M'!$A:$A,0)-1,MATCH("quantite",'Inventaire M'!#REF!,0))),"Sell",INDEX('Inventaire M'!$A$2:$AD$9319,MATCH(R494,'Inventaire M'!$A:$A,0)-1,MATCH("quantite",'Inventaire M'!#REF!,0))))</f>
        <v/>
      </c>
      <c r="Z494" s="175"/>
      <c r="AA494" s="155" t="str">
        <f>IF(R494="-","",INDEX('Inventaire M-1'!$A$2:$AG$9334,MATCH(R494,'Inventaire M-1'!$A:$A,0)-1,MATCH("poids",'Inventaire M-1'!#REF!,0)))</f>
        <v/>
      </c>
      <c r="AB494" s="155" t="str">
        <f>IF(R494="-","",IF(ISERROR(INDEX('Inventaire M'!$A$2:$AD$9319,MATCH(R494,'Inventaire M'!$A:$A,0)-1,MATCH("poids",'Inventaire M'!#REF!,0))),"Sell",INDEX('Inventaire M'!$A$2:$AD$9319,MATCH(R494,'Inventaire M'!$A:$A,0)-1,MATCH("poids",'Inventaire M'!#REF!,0))))</f>
        <v/>
      </c>
      <c r="AC494" s="175"/>
      <c r="AD494" s="157" t="str">
        <f t="shared" si="57"/>
        <v>0</v>
      </c>
      <c r="AE494" s="98" t="str">
        <f t="shared" si="58"/>
        <v/>
      </c>
      <c r="AF494" s="80" t="str">
        <f t="shared" si="59"/>
        <v>-</v>
      </c>
    </row>
    <row r="495" spans="2:32" outlineLevel="1">
      <c r="B495" s="175" t="str">
        <f>IF(OR('Inventaire M'!D268="Dispo/Liquidité Investie",'Inventaire M'!D268="Option/Future",'Inventaire M'!D268="TCN",'Inventaire M'!D268=""),"-",'Inventaire M'!A268)</f>
        <v>-</v>
      </c>
      <c r="C495" s="175" t="str">
        <f>IF(OR('Inventaire M'!D268="Dispo/Liquidité Investie",'Inventaire M'!D268="Option/Future",'Inventaire M'!D268="TCN",'Inventaire M'!D268=""),"-",'Inventaire M'!B268)</f>
        <v>-</v>
      </c>
      <c r="D495" s="175"/>
      <c r="E495" s="175" t="str">
        <f>IF(B495="-","",INDEX('Inventaire M'!$A$2:$AW$9305,MATCH(B495,'Inventaire M'!$A:$A,0)-1,MATCH("Cours EUR",'Inventaire M'!#REF!,0)))</f>
        <v/>
      </c>
      <c r="F495" s="175" t="str">
        <f>IF(B495="-","",IF(ISERROR(INDEX('Inventaire M-1'!$A$2:$AZ$9320,MATCH(B495,'Inventaire M-1'!$A:$A,0)-1,MATCH("Cours EUR",'Inventaire M-1'!#REF!,0))),"Buy",INDEX('Inventaire M-1'!$A$2:$AZ$9320,MATCH(B495,'Inventaire M-1'!$A:$A,0)-1,MATCH("Cours EUR",'Inventaire M-1'!#REF!,0))))</f>
        <v/>
      </c>
      <c r="G495" s="175"/>
      <c r="H495" s="156" t="str">
        <f>IF(B495="-","",INDEX('Inventaire M'!$A$2:$AW$9305,MATCH(B495,'Inventaire M'!$A:$A,0)-1,MATCH("quantite",'Inventaire M'!#REF!,0)))</f>
        <v/>
      </c>
      <c r="I495" s="156" t="str">
        <f>IF(C495="-","",IF(ISERROR(INDEX('Inventaire M-1'!$A$2:$AZ$9320,MATCH(B495,'Inventaire M-1'!$A:$A,0)-1,MATCH("quantite",'Inventaire M-1'!#REF!,0))),"Buy",INDEX('Inventaire M-1'!$A$2:$AZ$9320,MATCH(B495,'Inventaire M-1'!$A:$A,0)-1,MATCH("quantite",'Inventaire M-1'!#REF!,0))))</f>
        <v/>
      </c>
      <c r="J495" s="175"/>
      <c r="K495" s="155" t="str">
        <f>IF(B495="-","",INDEX('Inventaire M'!$A$2:$AW$9305,MATCH(B495,'Inventaire M'!$A:$A,0)-1,MATCH("poids",'Inventaire M'!#REF!,0)))</f>
        <v/>
      </c>
      <c r="L495" s="155" t="str">
        <f>IF(B495="-","",IF(ISERROR(INDEX('Inventaire M-1'!$A$2:$AZ$9320,MATCH(B495,'Inventaire M-1'!$A:$A,0)-1,MATCH("poids",'Inventaire M-1'!#REF!,0))),"Buy",INDEX('Inventaire M-1'!$A$2:$AZ$9320,MATCH(B495,'Inventaire M-1'!$A:$A,0)-1,MATCH("poids",'Inventaire M-1'!#REF!,0))))</f>
        <v/>
      </c>
      <c r="M495" s="175"/>
      <c r="N495" s="157" t="str">
        <f t="shared" si="55"/>
        <v>0</v>
      </c>
      <c r="O495" s="98" t="str">
        <f t="shared" si="54"/>
        <v/>
      </c>
      <c r="P495" s="80" t="str">
        <f t="shared" si="56"/>
        <v>-</v>
      </c>
      <c r="Q495" s="75">
        <v>4.7099999999999998E-8</v>
      </c>
      <c r="R495" s="175" t="str">
        <f>IF(OR('Inventaire M-1'!D247="Dispo/Liquidité Investie",'Inventaire M-1'!D247="Option/Future",'Inventaire M-1'!D247="TCN",'Inventaire M-1'!D247=""),"-",'Inventaire M-1'!A247)</f>
        <v>-</v>
      </c>
      <c r="S495" s="175" t="str">
        <f>IF(OR('Inventaire M-1'!D247="Dispo/Liquidité Investie",'Inventaire M-1'!D247="Option/Future",'Inventaire M-1'!D247="TCN",'Inventaire M-1'!D247=""),"-",'Inventaire M-1'!B247)</f>
        <v>-</v>
      </c>
      <c r="T495" s="175"/>
      <c r="U495" s="175" t="str">
        <f>IF(R495="-","",INDEX('Inventaire M-1'!$A$2:$AG$9334,MATCH(R495,'Inventaire M-1'!$A:$A,0)-1,MATCH("Cours EUR",'Inventaire M-1'!#REF!,0)))</f>
        <v/>
      </c>
      <c r="V495" s="175" t="str">
        <f>IF(R495="-","",IF(ISERROR(INDEX('Inventaire M'!$A$2:$AD$9319,MATCH(R495,'Inventaire M'!$A:$A,0)-1,MATCH("Cours EUR",'Inventaire M'!#REF!,0))),"Sell",INDEX('Inventaire M'!$A$2:$AD$9319,MATCH(R495,'Inventaire M'!$A:$A,0)-1,MATCH("Cours EUR",'Inventaire M'!#REF!,0))))</f>
        <v/>
      </c>
      <c r="W495" s="175"/>
      <c r="X495" s="156" t="str">
        <f>IF(R495="-","",INDEX('Inventaire M-1'!$A$2:$AG$9334,MATCH(R495,'Inventaire M-1'!$A:$A,0)-1,MATCH("quantite",'Inventaire M-1'!#REF!,0)))</f>
        <v/>
      </c>
      <c r="Y495" s="156" t="str">
        <f>IF(S495="-","",IF(ISERROR(INDEX('Inventaire M'!$A$2:$AD$9319,MATCH(R495,'Inventaire M'!$A:$A,0)-1,MATCH("quantite",'Inventaire M'!#REF!,0))),"Sell",INDEX('Inventaire M'!$A$2:$AD$9319,MATCH(R495,'Inventaire M'!$A:$A,0)-1,MATCH("quantite",'Inventaire M'!#REF!,0))))</f>
        <v/>
      </c>
      <c r="Z495" s="175"/>
      <c r="AA495" s="155" t="str">
        <f>IF(R495="-","",INDEX('Inventaire M-1'!$A$2:$AG$9334,MATCH(R495,'Inventaire M-1'!$A:$A,0)-1,MATCH("poids",'Inventaire M-1'!#REF!,0)))</f>
        <v/>
      </c>
      <c r="AB495" s="155" t="str">
        <f>IF(R495="-","",IF(ISERROR(INDEX('Inventaire M'!$A$2:$AD$9319,MATCH(R495,'Inventaire M'!$A:$A,0)-1,MATCH("poids",'Inventaire M'!#REF!,0))),"Sell",INDEX('Inventaire M'!$A$2:$AD$9319,MATCH(R495,'Inventaire M'!$A:$A,0)-1,MATCH("poids",'Inventaire M'!#REF!,0))))</f>
        <v/>
      </c>
      <c r="AC495" s="175"/>
      <c r="AD495" s="157" t="str">
        <f t="shared" si="57"/>
        <v>0</v>
      </c>
      <c r="AE495" s="98" t="str">
        <f t="shared" si="58"/>
        <v/>
      </c>
      <c r="AF495" s="80" t="str">
        <f t="shared" si="59"/>
        <v>-</v>
      </c>
    </row>
    <row r="496" spans="2:32" outlineLevel="1">
      <c r="B496" s="175" t="str">
        <f>IF(OR('Inventaire M'!D269="Dispo/Liquidité Investie",'Inventaire M'!D269="Option/Future",'Inventaire M'!D269="TCN",'Inventaire M'!D269=""),"-",'Inventaire M'!A269)</f>
        <v>-</v>
      </c>
      <c r="C496" s="175" t="str">
        <f>IF(OR('Inventaire M'!D269="Dispo/Liquidité Investie",'Inventaire M'!D269="Option/Future",'Inventaire M'!D269="TCN",'Inventaire M'!D269=""),"-",'Inventaire M'!B269)</f>
        <v>-</v>
      </c>
      <c r="D496" s="175"/>
      <c r="E496" s="175" t="str">
        <f>IF(B496="-","",INDEX('Inventaire M'!$A$2:$AW$9305,MATCH(B496,'Inventaire M'!$A:$A,0)-1,MATCH("Cours EUR",'Inventaire M'!#REF!,0)))</f>
        <v/>
      </c>
      <c r="F496" s="175" t="str">
        <f>IF(B496="-","",IF(ISERROR(INDEX('Inventaire M-1'!$A$2:$AZ$9320,MATCH(B496,'Inventaire M-1'!$A:$A,0)-1,MATCH("Cours EUR",'Inventaire M-1'!#REF!,0))),"Buy",INDEX('Inventaire M-1'!$A$2:$AZ$9320,MATCH(B496,'Inventaire M-1'!$A:$A,0)-1,MATCH("Cours EUR",'Inventaire M-1'!#REF!,0))))</f>
        <v/>
      </c>
      <c r="G496" s="175"/>
      <c r="H496" s="156" t="str">
        <f>IF(B496="-","",INDEX('Inventaire M'!$A$2:$AW$9305,MATCH(B496,'Inventaire M'!$A:$A,0)-1,MATCH("quantite",'Inventaire M'!#REF!,0)))</f>
        <v/>
      </c>
      <c r="I496" s="156" t="str">
        <f>IF(C496="-","",IF(ISERROR(INDEX('Inventaire M-1'!$A$2:$AZ$9320,MATCH(B496,'Inventaire M-1'!$A:$A,0)-1,MATCH("quantite",'Inventaire M-1'!#REF!,0))),"Buy",INDEX('Inventaire M-1'!$A$2:$AZ$9320,MATCH(B496,'Inventaire M-1'!$A:$A,0)-1,MATCH("quantite",'Inventaire M-1'!#REF!,0))))</f>
        <v/>
      </c>
      <c r="J496" s="175"/>
      <c r="K496" s="155" t="str">
        <f>IF(B496="-","",INDEX('Inventaire M'!$A$2:$AW$9305,MATCH(B496,'Inventaire M'!$A:$A,0)-1,MATCH("poids",'Inventaire M'!#REF!,0)))</f>
        <v/>
      </c>
      <c r="L496" s="155" t="str">
        <f>IF(B496="-","",IF(ISERROR(INDEX('Inventaire M-1'!$A$2:$AZ$9320,MATCH(B496,'Inventaire M-1'!$A:$A,0)-1,MATCH("poids",'Inventaire M-1'!#REF!,0))),"Buy",INDEX('Inventaire M-1'!$A$2:$AZ$9320,MATCH(B496,'Inventaire M-1'!$A:$A,0)-1,MATCH("poids",'Inventaire M-1'!#REF!,0))))</f>
        <v/>
      </c>
      <c r="M496" s="175"/>
      <c r="N496" s="157" t="str">
        <f t="shared" si="55"/>
        <v>0</v>
      </c>
      <c r="O496" s="98" t="str">
        <f t="shared" si="54"/>
        <v/>
      </c>
      <c r="P496" s="80" t="str">
        <f t="shared" si="56"/>
        <v>-</v>
      </c>
      <c r="Q496" s="75">
        <v>4.7199999999999999E-8</v>
      </c>
      <c r="R496" s="175" t="str">
        <f>IF(OR('Inventaire M-1'!D248="Dispo/Liquidité Investie",'Inventaire M-1'!D248="Option/Future",'Inventaire M-1'!D248="TCN",'Inventaire M-1'!D248=""),"-",'Inventaire M-1'!A248)</f>
        <v>-</v>
      </c>
      <c r="S496" s="175" t="str">
        <f>IF(OR('Inventaire M-1'!D248="Dispo/Liquidité Investie",'Inventaire M-1'!D248="Option/Future",'Inventaire M-1'!D248="TCN",'Inventaire M-1'!D248=""),"-",'Inventaire M-1'!B248)</f>
        <v>-</v>
      </c>
      <c r="T496" s="175"/>
      <c r="U496" s="175" t="str">
        <f>IF(R496="-","",INDEX('Inventaire M-1'!$A$2:$AG$9334,MATCH(R496,'Inventaire M-1'!$A:$A,0)-1,MATCH("Cours EUR",'Inventaire M-1'!#REF!,0)))</f>
        <v/>
      </c>
      <c r="V496" s="175" t="str">
        <f>IF(R496="-","",IF(ISERROR(INDEX('Inventaire M'!$A$2:$AD$9319,MATCH(R496,'Inventaire M'!$A:$A,0)-1,MATCH("Cours EUR",'Inventaire M'!#REF!,0))),"Sell",INDEX('Inventaire M'!$A$2:$AD$9319,MATCH(R496,'Inventaire M'!$A:$A,0)-1,MATCH("Cours EUR",'Inventaire M'!#REF!,0))))</f>
        <v/>
      </c>
      <c r="W496" s="175"/>
      <c r="X496" s="156" t="str">
        <f>IF(R496="-","",INDEX('Inventaire M-1'!$A$2:$AG$9334,MATCH(R496,'Inventaire M-1'!$A:$A,0)-1,MATCH("quantite",'Inventaire M-1'!#REF!,0)))</f>
        <v/>
      </c>
      <c r="Y496" s="156" t="str">
        <f>IF(S496="-","",IF(ISERROR(INDEX('Inventaire M'!$A$2:$AD$9319,MATCH(R496,'Inventaire M'!$A:$A,0)-1,MATCH("quantite",'Inventaire M'!#REF!,0))),"Sell",INDEX('Inventaire M'!$A$2:$AD$9319,MATCH(R496,'Inventaire M'!$A:$A,0)-1,MATCH("quantite",'Inventaire M'!#REF!,0))))</f>
        <v/>
      </c>
      <c r="Z496" s="175"/>
      <c r="AA496" s="155" t="str">
        <f>IF(R496="-","",INDEX('Inventaire M-1'!$A$2:$AG$9334,MATCH(R496,'Inventaire M-1'!$A:$A,0)-1,MATCH("poids",'Inventaire M-1'!#REF!,0)))</f>
        <v/>
      </c>
      <c r="AB496" s="155" t="str">
        <f>IF(R496="-","",IF(ISERROR(INDEX('Inventaire M'!$A$2:$AD$9319,MATCH(R496,'Inventaire M'!$A:$A,0)-1,MATCH("poids",'Inventaire M'!#REF!,0))),"Sell",INDEX('Inventaire M'!$A$2:$AD$9319,MATCH(R496,'Inventaire M'!$A:$A,0)-1,MATCH("poids",'Inventaire M'!#REF!,0))))</f>
        <v/>
      </c>
      <c r="AC496" s="175"/>
      <c r="AD496" s="157" t="str">
        <f t="shared" si="57"/>
        <v>0</v>
      </c>
      <c r="AE496" s="98" t="str">
        <f t="shared" si="58"/>
        <v/>
      </c>
      <c r="AF496" s="80" t="str">
        <f t="shared" si="59"/>
        <v>-</v>
      </c>
    </row>
    <row r="497" spans="2:32" outlineLevel="1">
      <c r="B497" s="175" t="str">
        <f>IF(OR('Inventaire M'!D270="Dispo/Liquidité Investie",'Inventaire M'!D270="Option/Future",'Inventaire M'!D270="TCN",'Inventaire M'!D270=""),"-",'Inventaire M'!A270)</f>
        <v>-</v>
      </c>
      <c r="C497" s="175" t="str">
        <f>IF(OR('Inventaire M'!D270="Dispo/Liquidité Investie",'Inventaire M'!D270="Option/Future",'Inventaire M'!D270="TCN",'Inventaire M'!D270=""),"-",'Inventaire M'!B270)</f>
        <v>-</v>
      </c>
      <c r="D497" s="175"/>
      <c r="E497" s="175" t="str">
        <f>IF(B497="-","",INDEX('Inventaire M'!$A$2:$AW$9305,MATCH(B497,'Inventaire M'!$A:$A,0)-1,MATCH("Cours EUR",'Inventaire M'!#REF!,0)))</f>
        <v/>
      </c>
      <c r="F497" s="175" t="str">
        <f>IF(B497="-","",IF(ISERROR(INDEX('Inventaire M-1'!$A$2:$AZ$9320,MATCH(B497,'Inventaire M-1'!$A:$A,0)-1,MATCH("Cours EUR",'Inventaire M-1'!#REF!,0))),"Buy",INDEX('Inventaire M-1'!$A$2:$AZ$9320,MATCH(B497,'Inventaire M-1'!$A:$A,0)-1,MATCH("Cours EUR",'Inventaire M-1'!#REF!,0))))</f>
        <v/>
      </c>
      <c r="G497" s="175"/>
      <c r="H497" s="156" t="str">
        <f>IF(B497="-","",INDEX('Inventaire M'!$A$2:$AW$9305,MATCH(B497,'Inventaire M'!$A:$A,0)-1,MATCH("quantite",'Inventaire M'!#REF!,0)))</f>
        <v/>
      </c>
      <c r="I497" s="156" t="str">
        <f>IF(C497="-","",IF(ISERROR(INDEX('Inventaire M-1'!$A$2:$AZ$9320,MATCH(B497,'Inventaire M-1'!$A:$A,0)-1,MATCH("quantite",'Inventaire M-1'!#REF!,0))),"Buy",INDEX('Inventaire M-1'!$A$2:$AZ$9320,MATCH(B497,'Inventaire M-1'!$A:$A,0)-1,MATCH("quantite",'Inventaire M-1'!#REF!,0))))</f>
        <v/>
      </c>
      <c r="J497" s="175"/>
      <c r="K497" s="155" t="str">
        <f>IF(B497="-","",INDEX('Inventaire M'!$A$2:$AW$9305,MATCH(B497,'Inventaire M'!$A:$A,0)-1,MATCH("poids",'Inventaire M'!#REF!,0)))</f>
        <v/>
      </c>
      <c r="L497" s="155" t="str">
        <f>IF(B497="-","",IF(ISERROR(INDEX('Inventaire M-1'!$A$2:$AZ$9320,MATCH(B497,'Inventaire M-1'!$A:$A,0)-1,MATCH("poids",'Inventaire M-1'!#REF!,0))),"Buy",INDEX('Inventaire M-1'!$A$2:$AZ$9320,MATCH(B497,'Inventaire M-1'!$A:$A,0)-1,MATCH("poids",'Inventaire M-1'!#REF!,0))))</f>
        <v/>
      </c>
      <c r="M497" s="175"/>
      <c r="N497" s="157" t="str">
        <f t="shared" si="55"/>
        <v>0</v>
      </c>
      <c r="O497" s="98" t="str">
        <f t="shared" si="54"/>
        <v/>
      </c>
      <c r="P497" s="80" t="str">
        <f t="shared" si="56"/>
        <v>-</v>
      </c>
      <c r="Q497" s="75">
        <v>4.73E-8</v>
      </c>
      <c r="R497" s="175" t="str">
        <f>IF(OR('Inventaire M-1'!D249="Dispo/Liquidité Investie",'Inventaire M-1'!D249="Option/Future",'Inventaire M-1'!D249="TCN",'Inventaire M-1'!D249=""),"-",'Inventaire M-1'!A249)</f>
        <v>-</v>
      </c>
      <c r="S497" s="175" t="str">
        <f>IF(OR('Inventaire M-1'!D249="Dispo/Liquidité Investie",'Inventaire M-1'!D249="Option/Future",'Inventaire M-1'!D249="TCN",'Inventaire M-1'!D249=""),"-",'Inventaire M-1'!B249)</f>
        <v>-</v>
      </c>
      <c r="T497" s="175"/>
      <c r="U497" s="175" t="str">
        <f>IF(R497="-","",INDEX('Inventaire M-1'!$A$2:$AG$9334,MATCH(R497,'Inventaire M-1'!$A:$A,0)-1,MATCH("Cours EUR",'Inventaire M-1'!#REF!,0)))</f>
        <v/>
      </c>
      <c r="V497" s="175" t="str">
        <f>IF(R497="-","",IF(ISERROR(INDEX('Inventaire M'!$A$2:$AD$9319,MATCH(R497,'Inventaire M'!$A:$A,0)-1,MATCH("Cours EUR",'Inventaire M'!#REF!,0))),"Sell",INDEX('Inventaire M'!$A$2:$AD$9319,MATCH(R497,'Inventaire M'!$A:$A,0)-1,MATCH("Cours EUR",'Inventaire M'!#REF!,0))))</f>
        <v/>
      </c>
      <c r="W497" s="175"/>
      <c r="X497" s="156" t="str">
        <f>IF(R497="-","",INDEX('Inventaire M-1'!$A$2:$AG$9334,MATCH(R497,'Inventaire M-1'!$A:$A,0)-1,MATCH("quantite",'Inventaire M-1'!#REF!,0)))</f>
        <v/>
      </c>
      <c r="Y497" s="156" t="str">
        <f>IF(S497="-","",IF(ISERROR(INDEX('Inventaire M'!$A$2:$AD$9319,MATCH(R497,'Inventaire M'!$A:$A,0)-1,MATCH("quantite",'Inventaire M'!#REF!,0))),"Sell",INDEX('Inventaire M'!$A$2:$AD$9319,MATCH(R497,'Inventaire M'!$A:$A,0)-1,MATCH("quantite",'Inventaire M'!#REF!,0))))</f>
        <v/>
      </c>
      <c r="Z497" s="175"/>
      <c r="AA497" s="155" t="str">
        <f>IF(R497="-","",INDEX('Inventaire M-1'!$A$2:$AG$9334,MATCH(R497,'Inventaire M-1'!$A:$A,0)-1,MATCH("poids",'Inventaire M-1'!#REF!,0)))</f>
        <v/>
      </c>
      <c r="AB497" s="155" t="str">
        <f>IF(R497="-","",IF(ISERROR(INDEX('Inventaire M'!$A$2:$AD$9319,MATCH(R497,'Inventaire M'!$A:$A,0)-1,MATCH("poids",'Inventaire M'!#REF!,0))),"Sell",INDEX('Inventaire M'!$A$2:$AD$9319,MATCH(R497,'Inventaire M'!$A:$A,0)-1,MATCH("poids",'Inventaire M'!#REF!,0))))</f>
        <v/>
      </c>
      <c r="AC497" s="175"/>
      <c r="AD497" s="157" t="str">
        <f t="shared" si="57"/>
        <v>0</v>
      </c>
      <c r="AE497" s="98" t="str">
        <f t="shared" si="58"/>
        <v/>
      </c>
      <c r="AF497" s="80" t="str">
        <f t="shared" si="59"/>
        <v>-</v>
      </c>
    </row>
    <row r="498" spans="2:32" outlineLevel="1">
      <c r="B498" s="175" t="str">
        <f>IF(OR('Inventaire M'!D271="Dispo/Liquidité Investie",'Inventaire M'!D271="Option/Future",'Inventaire M'!D271="TCN",'Inventaire M'!D271=""),"-",'Inventaire M'!A271)</f>
        <v>-</v>
      </c>
      <c r="C498" s="175" t="str">
        <f>IF(OR('Inventaire M'!D271="Dispo/Liquidité Investie",'Inventaire M'!D271="Option/Future",'Inventaire M'!D271="TCN",'Inventaire M'!D271=""),"-",'Inventaire M'!B271)</f>
        <v>-</v>
      </c>
      <c r="D498" s="175"/>
      <c r="E498" s="175" t="str">
        <f>IF(B498="-","",INDEX('Inventaire M'!$A$2:$AW$9305,MATCH(B498,'Inventaire M'!$A:$A,0)-1,MATCH("Cours EUR",'Inventaire M'!#REF!,0)))</f>
        <v/>
      </c>
      <c r="F498" s="175" t="str">
        <f>IF(B498="-","",IF(ISERROR(INDEX('Inventaire M-1'!$A$2:$AZ$9320,MATCH(B498,'Inventaire M-1'!$A:$A,0)-1,MATCH("Cours EUR",'Inventaire M-1'!#REF!,0))),"Buy",INDEX('Inventaire M-1'!$A$2:$AZ$9320,MATCH(B498,'Inventaire M-1'!$A:$A,0)-1,MATCH("Cours EUR",'Inventaire M-1'!#REF!,0))))</f>
        <v/>
      </c>
      <c r="G498" s="175"/>
      <c r="H498" s="156" t="str">
        <f>IF(B498="-","",INDEX('Inventaire M'!$A$2:$AW$9305,MATCH(B498,'Inventaire M'!$A:$A,0)-1,MATCH("quantite",'Inventaire M'!#REF!,0)))</f>
        <v/>
      </c>
      <c r="I498" s="156" t="str">
        <f>IF(C498="-","",IF(ISERROR(INDEX('Inventaire M-1'!$A$2:$AZ$9320,MATCH(B498,'Inventaire M-1'!$A:$A,0)-1,MATCH("quantite",'Inventaire M-1'!#REF!,0))),"Buy",INDEX('Inventaire M-1'!$A$2:$AZ$9320,MATCH(B498,'Inventaire M-1'!$A:$A,0)-1,MATCH("quantite",'Inventaire M-1'!#REF!,0))))</f>
        <v/>
      </c>
      <c r="J498" s="175"/>
      <c r="K498" s="155" t="str">
        <f>IF(B498="-","",INDEX('Inventaire M'!$A$2:$AW$9305,MATCH(B498,'Inventaire M'!$A:$A,0)-1,MATCH("poids",'Inventaire M'!#REF!,0)))</f>
        <v/>
      </c>
      <c r="L498" s="155" t="str">
        <f>IF(B498="-","",IF(ISERROR(INDEX('Inventaire M-1'!$A$2:$AZ$9320,MATCH(B498,'Inventaire M-1'!$A:$A,0)-1,MATCH("poids",'Inventaire M-1'!#REF!,0))),"Buy",INDEX('Inventaire M-1'!$A$2:$AZ$9320,MATCH(B498,'Inventaire M-1'!$A:$A,0)-1,MATCH("poids",'Inventaire M-1'!#REF!,0))))</f>
        <v/>
      </c>
      <c r="M498" s="175"/>
      <c r="N498" s="157" t="str">
        <f t="shared" si="55"/>
        <v>0</v>
      </c>
      <c r="O498" s="98" t="str">
        <f t="shared" si="54"/>
        <v/>
      </c>
      <c r="P498" s="80" t="str">
        <f t="shared" si="56"/>
        <v>-</v>
      </c>
      <c r="Q498" s="75">
        <v>4.7400000000000001E-8</v>
      </c>
      <c r="R498" s="175" t="str">
        <f>IF(OR('Inventaire M-1'!D250="Dispo/Liquidité Investie",'Inventaire M-1'!D250="Option/Future",'Inventaire M-1'!D250="TCN",'Inventaire M-1'!D250=""),"-",'Inventaire M-1'!A250)</f>
        <v>-</v>
      </c>
      <c r="S498" s="175" t="str">
        <f>IF(OR('Inventaire M-1'!D250="Dispo/Liquidité Investie",'Inventaire M-1'!D250="Option/Future",'Inventaire M-1'!D250="TCN",'Inventaire M-1'!D250=""),"-",'Inventaire M-1'!B250)</f>
        <v>-</v>
      </c>
      <c r="T498" s="175"/>
      <c r="U498" s="175" t="str">
        <f>IF(R498="-","",INDEX('Inventaire M-1'!$A$2:$AG$9334,MATCH(R498,'Inventaire M-1'!$A:$A,0)-1,MATCH("Cours EUR",'Inventaire M-1'!#REF!,0)))</f>
        <v/>
      </c>
      <c r="V498" s="175" t="str">
        <f>IF(R498="-","",IF(ISERROR(INDEX('Inventaire M'!$A$2:$AD$9319,MATCH(R498,'Inventaire M'!$A:$A,0)-1,MATCH("Cours EUR",'Inventaire M'!#REF!,0))),"Sell",INDEX('Inventaire M'!$A$2:$AD$9319,MATCH(R498,'Inventaire M'!$A:$A,0)-1,MATCH("Cours EUR",'Inventaire M'!#REF!,0))))</f>
        <v/>
      </c>
      <c r="W498" s="175"/>
      <c r="X498" s="156" t="str">
        <f>IF(R498="-","",INDEX('Inventaire M-1'!$A$2:$AG$9334,MATCH(R498,'Inventaire M-1'!$A:$A,0)-1,MATCH("quantite",'Inventaire M-1'!#REF!,0)))</f>
        <v/>
      </c>
      <c r="Y498" s="156" t="str">
        <f>IF(S498="-","",IF(ISERROR(INDEX('Inventaire M'!$A$2:$AD$9319,MATCH(R498,'Inventaire M'!$A:$A,0)-1,MATCH("quantite",'Inventaire M'!#REF!,0))),"Sell",INDEX('Inventaire M'!$A$2:$AD$9319,MATCH(R498,'Inventaire M'!$A:$A,0)-1,MATCH("quantite",'Inventaire M'!#REF!,0))))</f>
        <v/>
      </c>
      <c r="Z498" s="175"/>
      <c r="AA498" s="155" t="str">
        <f>IF(R498="-","",INDEX('Inventaire M-1'!$A$2:$AG$9334,MATCH(R498,'Inventaire M-1'!$A:$A,0)-1,MATCH("poids",'Inventaire M-1'!#REF!,0)))</f>
        <v/>
      </c>
      <c r="AB498" s="155" t="str">
        <f>IF(R498="-","",IF(ISERROR(INDEX('Inventaire M'!$A$2:$AD$9319,MATCH(R498,'Inventaire M'!$A:$A,0)-1,MATCH("poids",'Inventaire M'!#REF!,0))),"Sell",INDEX('Inventaire M'!$A$2:$AD$9319,MATCH(R498,'Inventaire M'!$A:$A,0)-1,MATCH("poids",'Inventaire M'!#REF!,0))))</f>
        <v/>
      </c>
      <c r="AC498" s="175"/>
      <c r="AD498" s="157" t="str">
        <f t="shared" si="57"/>
        <v>0</v>
      </c>
      <c r="AE498" s="98" t="str">
        <f t="shared" si="58"/>
        <v/>
      </c>
      <c r="AF498" s="80" t="str">
        <f t="shared" si="59"/>
        <v>-</v>
      </c>
    </row>
    <row r="499" spans="2:32" outlineLevel="1">
      <c r="B499" s="175" t="str">
        <f>IF(OR('Inventaire M'!D272="Dispo/Liquidité Investie",'Inventaire M'!D272="Option/Future",'Inventaire M'!D272="TCN",'Inventaire M'!D272=""),"-",'Inventaire M'!A272)</f>
        <v>-</v>
      </c>
      <c r="C499" s="175" t="str">
        <f>IF(OR('Inventaire M'!D272="Dispo/Liquidité Investie",'Inventaire M'!D272="Option/Future",'Inventaire M'!D272="TCN",'Inventaire M'!D272=""),"-",'Inventaire M'!B272)</f>
        <v>-</v>
      </c>
      <c r="D499" s="175"/>
      <c r="E499" s="175" t="str">
        <f>IF(B499="-","",INDEX('Inventaire M'!$A$2:$AW$9305,MATCH(B499,'Inventaire M'!$A:$A,0)-1,MATCH("Cours EUR",'Inventaire M'!#REF!,0)))</f>
        <v/>
      </c>
      <c r="F499" s="175" t="str">
        <f>IF(B499="-","",IF(ISERROR(INDEX('Inventaire M-1'!$A$2:$AZ$9320,MATCH(B499,'Inventaire M-1'!$A:$A,0)-1,MATCH("Cours EUR",'Inventaire M-1'!#REF!,0))),"Buy",INDEX('Inventaire M-1'!$A$2:$AZ$9320,MATCH(B499,'Inventaire M-1'!$A:$A,0)-1,MATCH("Cours EUR",'Inventaire M-1'!#REF!,0))))</f>
        <v/>
      </c>
      <c r="G499" s="175"/>
      <c r="H499" s="156" t="str">
        <f>IF(B499="-","",INDEX('Inventaire M'!$A$2:$AW$9305,MATCH(B499,'Inventaire M'!$A:$A,0)-1,MATCH("quantite",'Inventaire M'!#REF!,0)))</f>
        <v/>
      </c>
      <c r="I499" s="156" t="str">
        <f>IF(C499="-","",IF(ISERROR(INDEX('Inventaire M-1'!$A$2:$AZ$9320,MATCH(B499,'Inventaire M-1'!$A:$A,0)-1,MATCH("quantite",'Inventaire M-1'!#REF!,0))),"Buy",INDEX('Inventaire M-1'!$A$2:$AZ$9320,MATCH(B499,'Inventaire M-1'!$A:$A,0)-1,MATCH("quantite",'Inventaire M-1'!#REF!,0))))</f>
        <v/>
      </c>
      <c r="J499" s="175"/>
      <c r="K499" s="155" t="str">
        <f>IF(B499="-","",INDEX('Inventaire M'!$A$2:$AW$9305,MATCH(B499,'Inventaire M'!$A:$A,0)-1,MATCH("poids",'Inventaire M'!#REF!,0)))</f>
        <v/>
      </c>
      <c r="L499" s="155" t="str">
        <f>IF(B499="-","",IF(ISERROR(INDEX('Inventaire M-1'!$A$2:$AZ$9320,MATCH(B499,'Inventaire M-1'!$A:$A,0)-1,MATCH("poids",'Inventaire M-1'!#REF!,0))),"Buy",INDEX('Inventaire M-1'!$A$2:$AZ$9320,MATCH(B499,'Inventaire M-1'!$A:$A,0)-1,MATCH("poids",'Inventaire M-1'!#REF!,0))))</f>
        <v/>
      </c>
      <c r="M499" s="175"/>
      <c r="N499" s="157" t="str">
        <f t="shared" si="55"/>
        <v>0</v>
      </c>
      <c r="O499" s="98" t="str">
        <f t="shared" si="54"/>
        <v/>
      </c>
      <c r="P499" s="80" t="str">
        <f t="shared" si="56"/>
        <v>-</v>
      </c>
      <c r="Q499" s="75">
        <v>4.7500000000000002E-8</v>
      </c>
      <c r="R499" s="175" t="str">
        <f>IF(OR('Inventaire M-1'!D251="Dispo/Liquidité Investie",'Inventaire M-1'!D251="Option/Future",'Inventaire M-1'!D251="TCN",'Inventaire M-1'!D251=""),"-",'Inventaire M-1'!A251)</f>
        <v>-</v>
      </c>
      <c r="S499" s="175" t="str">
        <f>IF(OR('Inventaire M-1'!D251="Dispo/Liquidité Investie",'Inventaire M-1'!D251="Option/Future",'Inventaire M-1'!D251="TCN",'Inventaire M-1'!D251=""),"-",'Inventaire M-1'!B251)</f>
        <v>-</v>
      </c>
      <c r="T499" s="175"/>
      <c r="U499" s="175" t="str">
        <f>IF(R499="-","",INDEX('Inventaire M-1'!$A$2:$AG$9334,MATCH(R499,'Inventaire M-1'!$A:$A,0)-1,MATCH("Cours EUR",'Inventaire M-1'!#REF!,0)))</f>
        <v/>
      </c>
      <c r="V499" s="175" t="str">
        <f>IF(R499="-","",IF(ISERROR(INDEX('Inventaire M'!$A$2:$AD$9319,MATCH(R499,'Inventaire M'!$A:$A,0)-1,MATCH("Cours EUR",'Inventaire M'!#REF!,0))),"Sell",INDEX('Inventaire M'!$A$2:$AD$9319,MATCH(R499,'Inventaire M'!$A:$A,0)-1,MATCH("Cours EUR",'Inventaire M'!#REF!,0))))</f>
        <v/>
      </c>
      <c r="W499" s="175"/>
      <c r="X499" s="156" t="str">
        <f>IF(R499="-","",INDEX('Inventaire M-1'!$A$2:$AG$9334,MATCH(R499,'Inventaire M-1'!$A:$A,0)-1,MATCH("quantite",'Inventaire M-1'!#REF!,0)))</f>
        <v/>
      </c>
      <c r="Y499" s="156" t="str">
        <f>IF(S499="-","",IF(ISERROR(INDEX('Inventaire M'!$A$2:$AD$9319,MATCH(R499,'Inventaire M'!$A:$A,0)-1,MATCH("quantite",'Inventaire M'!#REF!,0))),"Sell",INDEX('Inventaire M'!$A$2:$AD$9319,MATCH(R499,'Inventaire M'!$A:$A,0)-1,MATCH("quantite",'Inventaire M'!#REF!,0))))</f>
        <v/>
      </c>
      <c r="Z499" s="175"/>
      <c r="AA499" s="155" t="str">
        <f>IF(R499="-","",INDEX('Inventaire M-1'!$A$2:$AG$9334,MATCH(R499,'Inventaire M-1'!$A:$A,0)-1,MATCH("poids",'Inventaire M-1'!#REF!,0)))</f>
        <v/>
      </c>
      <c r="AB499" s="155" t="str">
        <f>IF(R499="-","",IF(ISERROR(INDEX('Inventaire M'!$A$2:$AD$9319,MATCH(R499,'Inventaire M'!$A:$A,0)-1,MATCH("poids",'Inventaire M'!#REF!,0))),"Sell",INDEX('Inventaire M'!$A$2:$AD$9319,MATCH(R499,'Inventaire M'!$A:$A,0)-1,MATCH("poids",'Inventaire M'!#REF!,0))))</f>
        <v/>
      </c>
      <c r="AC499" s="175"/>
      <c r="AD499" s="157" t="str">
        <f t="shared" si="57"/>
        <v>0</v>
      </c>
      <c r="AE499" s="98" t="str">
        <f t="shared" si="58"/>
        <v/>
      </c>
      <c r="AF499" s="80" t="str">
        <f t="shared" si="59"/>
        <v>-</v>
      </c>
    </row>
    <row r="500" spans="2:32" outlineLevel="1">
      <c r="B500" s="175" t="str">
        <f>IF(OR('Inventaire M'!D273="Dispo/Liquidité Investie",'Inventaire M'!D273="Option/Future",'Inventaire M'!D273="TCN",'Inventaire M'!D273=""),"-",'Inventaire M'!A273)</f>
        <v>-</v>
      </c>
      <c r="C500" s="175" t="str">
        <f>IF(OR('Inventaire M'!D273="Dispo/Liquidité Investie",'Inventaire M'!D273="Option/Future",'Inventaire M'!D273="TCN",'Inventaire M'!D273=""),"-",'Inventaire M'!B273)</f>
        <v>-</v>
      </c>
      <c r="D500" s="175"/>
      <c r="E500" s="175" t="str">
        <f>IF(B500="-","",INDEX('Inventaire M'!$A$2:$AW$9305,MATCH(B500,'Inventaire M'!$A:$A,0)-1,MATCH("Cours EUR",'Inventaire M'!#REF!,0)))</f>
        <v/>
      </c>
      <c r="F500" s="175" t="str">
        <f>IF(B500="-","",IF(ISERROR(INDEX('Inventaire M-1'!$A$2:$AZ$9320,MATCH(B500,'Inventaire M-1'!$A:$A,0)-1,MATCH("Cours EUR",'Inventaire M-1'!#REF!,0))),"Buy",INDEX('Inventaire M-1'!$A$2:$AZ$9320,MATCH(B500,'Inventaire M-1'!$A:$A,0)-1,MATCH("Cours EUR",'Inventaire M-1'!#REF!,0))))</f>
        <v/>
      </c>
      <c r="G500" s="175"/>
      <c r="H500" s="156" t="str">
        <f>IF(B500="-","",INDEX('Inventaire M'!$A$2:$AW$9305,MATCH(B500,'Inventaire M'!$A:$A,0)-1,MATCH("quantite",'Inventaire M'!#REF!,0)))</f>
        <v/>
      </c>
      <c r="I500" s="156" t="str">
        <f>IF(C500="-","",IF(ISERROR(INDEX('Inventaire M-1'!$A$2:$AZ$9320,MATCH(B500,'Inventaire M-1'!$A:$A,0)-1,MATCH("quantite",'Inventaire M-1'!#REF!,0))),"Buy",INDEX('Inventaire M-1'!$A$2:$AZ$9320,MATCH(B500,'Inventaire M-1'!$A:$A,0)-1,MATCH("quantite",'Inventaire M-1'!#REF!,0))))</f>
        <v/>
      </c>
      <c r="J500" s="175"/>
      <c r="K500" s="155" t="str">
        <f>IF(B500="-","",INDEX('Inventaire M'!$A$2:$AW$9305,MATCH(B500,'Inventaire M'!$A:$A,0)-1,MATCH("poids",'Inventaire M'!#REF!,0)))</f>
        <v/>
      </c>
      <c r="L500" s="155" t="str">
        <f>IF(B500="-","",IF(ISERROR(INDEX('Inventaire M-1'!$A$2:$AZ$9320,MATCH(B500,'Inventaire M-1'!$A:$A,0)-1,MATCH("poids",'Inventaire M-1'!#REF!,0))),"Buy",INDEX('Inventaire M-1'!$A$2:$AZ$9320,MATCH(B500,'Inventaire M-1'!$A:$A,0)-1,MATCH("poids",'Inventaire M-1'!#REF!,0))))</f>
        <v/>
      </c>
      <c r="M500" s="175"/>
      <c r="N500" s="157" t="str">
        <f t="shared" si="55"/>
        <v>0</v>
      </c>
      <c r="O500" s="98" t="str">
        <f t="shared" si="54"/>
        <v/>
      </c>
      <c r="P500" s="80" t="str">
        <f t="shared" si="56"/>
        <v>-</v>
      </c>
      <c r="Q500" s="75">
        <v>4.7600000000000003E-8</v>
      </c>
      <c r="R500" s="175" t="str">
        <f>IF(OR('Inventaire M-1'!D252="Dispo/Liquidité Investie",'Inventaire M-1'!D252="Option/Future",'Inventaire M-1'!D252="TCN",'Inventaire M-1'!D252=""),"-",'Inventaire M-1'!A252)</f>
        <v>-</v>
      </c>
      <c r="S500" s="175" t="str">
        <f>IF(OR('Inventaire M-1'!D252="Dispo/Liquidité Investie",'Inventaire M-1'!D252="Option/Future",'Inventaire M-1'!D252="TCN",'Inventaire M-1'!D252=""),"-",'Inventaire M-1'!B252)</f>
        <v>-</v>
      </c>
      <c r="T500" s="175"/>
      <c r="U500" s="175" t="str">
        <f>IF(R500="-","",INDEX('Inventaire M-1'!$A$2:$AG$9334,MATCH(R500,'Inventaire M-1'!$A:$A,0)-1,MATCH("Cours EUR",'Inventaire M-1'!#REF!,0)))</f>
        <v/>
      </c>
      <c r="V500" s="175" t="str">
        <f>IF(R500="-","",IF(ISERROR(INDEX('Inventaire M'!$A$2:$AD$9319,MATCH(R500,'Inventaire M'!$A:$A,0)-1,MATCH("Cours EUR",'Inventaire M'!#REF!,0))),"Sell",INDEX('Inventaire M'!$A$2:$AD$9319,MATCH(R500,'Inventaire M'!$A:$A,0)-1,MATCH("Cours EUR",'Inventaire M'!#REF!,0))))</f>
        <v/>
      </c>
      <c r="W500" s="175"/>
      <c r="X500" s="156" t="str">
        <f>IF(R500="-","",INDEX('Inventaire M-1'!$A$2:$AG$9334,MATCH(R500,'Inventaire M-1'!$A:$A,0)-1,MATCH("quantite",'Inventaire M-1'!#REF!,0)))</f>
        <v/>
      </c>
      <c r="Y500" s="156" t="str">
        <f>IF(S500="-","",IF(ISERROR(INDEX('Inventaire M'!$A$2:$AD$9319,MATCH(R500,'Inventaire M'!$A:$A,0)-1,MATCH("quantite",'Inventaire M'!#REF!,0))),"Sell",INDEX('Inventaire M'!$A$2:$AD$9319,MATCH(R500,'Inventaire M'!$A:$A,0)-1,MATCH("quantite",'Inventaire M'!#REF!,0))))</f>
        <v/>
      </c>
      <c r="Z500" s="175"/>
      <c r="AA500" s="155" t="str">
        <f>IF(R500="-","",INDEX('Inventaire M-1'!$A$2:$AG$9334,MATCH(R500,'Inventaire M-1'!$A:$A,0)-1,MATCH("poids",'Inventaire M-1'!#REF!,0)))</f>
        <v/>
      </c>
      <c r="AB500" s="155" t="str">
        <f>IF(R500="-","",IF(ISERROR(INDEX('Inventaire M'!$A$2:$AD$9319,MATCH(R500,'Inventaire M'!$A:$A,0)-1,MATCH("poids",'Inventaire M'!#REF!,0))),"Sell",INDEX('Inventaire M'!$A$2:$AD$9319,MATCH(R500,'Inventaire M'!$A:$A,0)-1,MATCH("poids",'Inventaire M'!#REF!,0))))</f>
        <v/>
      </c>
      <c r="AC500" s="175"/>
      <c r="AD500" s="157" t="str">
        <f t="shared" si="57"/>
        <v>0</v>
      </c>
      <c r="AE500" s="98" t="str">
        <f t="shared" si="58"/>
        <v/>
      </c>
      <c r="AF500" s="80" t="str">
        <f t="shared" si="59"/>
        <v>-</v>
      </c>
    </row>
    <row r="501" spans="2:32" outlineLevel="1">
      <c r="B501" s="175" t="str">
        <f>IF(OR('Inventaire M'!D274="Dispo/Liquidité Investie",'Inventaire M'!D274="Option/Future",'Inventaire M'!D274="TCN",'Inventaire M'!D274=""),"-",'Inventaire M'!A274)</f>
        <v>-</v>
      </c>
      <c r="C501" s="175" t="str">
        <f>IF(OR('Inventaire M'!D274="Dispo/Liquidité Investie",'Inventaire M'!D274="Option/Future",'Inventaire M'!D274="TCN",'Inventaire M'!D274=""),"-",'Inventaire M'!B274)</f>
        <v>-</v>
      </c>
      <c r="D501" s="175"/>
      <c r="E501" s="175" t="str">
        <f>IF(B501="-","",INDEX('Inventaire M'!$A$2:$AW$9305,MATCH(B501,'Inventaire M'!$A:$A,0)-1,MATCH("Cours EUR",'Inventaire M'!#REF!,0)))</f>
        <v/>
      </c>
      <c r="F501" s="175" t="str">
        <f>IF(B501="-","",IF(ISERROR(INDEX('Inventaire M-1'!$A$2:$AZ$9320,MATCH(B501,'Inventaire M-1'!$A:$A,0)-1,MATCH("Cours EUR",'Inventaire M-1'!#REF!,0))),"Buy",INDEX('Inventaire M-1'!$A$2:$AZ$9320,MATCH(B501,'Inventaire M-1'!$A:$A,0)-1,MATCH("Cours EUR",'Inventaire M-1'!#REF!,0))))</f>
        <v/>
      </c>
      <c r="G501" s="175"/>
      <c r="H501" s="156" t="str">
        <f>IF(B501="-","",INDEX('Inventaire M'!$A$2:$AW$9305,MATCH(B501,'Inventaire M'!$A:$A,0)-1,MATCH("quantite",'Inventaire M'!#REF!,0)))</f>
        <v/>
      </c>
      <c r="I501" s="156" t="str">
        <f>IF(C501="-","",IF(ISERROR(INDEX('Inventaire M-1'!$A$2:$AZ$9320,MATCH(B501,'Inventaire M-1'!$A:$A,0)-1,MATCH("quantite",'Inventaire M-1'!#REF!,0))),"Buy",INDEX('Inventaire M-1'!$A$2:$AZ$9320,MATCH(B501,'Inventaire M-1'!$A:$A,0)-1,MATCH("quantite",'Inventaire M-1'!#REF!,0))))</f>
        <v/>
      </c>
      <c r="J501" s="175"/>
      <c r="K501" s="155" t="str">
        <f>IF(B501="-","",INDEX('Inventaire M'!$A$2:$AW$9305,MATCH(B501,'Inventaire M'!$A:$A,0)-1,MATCH("poids",'Inventaire M'!#REF!,0)))</f>
        <v/>
      </c>
      <c r="L501" s="155" t="str">
        <f>IF(B501="-","",IF(ISERROR(INDEX('Inventaire M-1'!$A$2:$AZ$9320,MATCH(B501,'Inventaire M-1'!$A:$A,0)-1,MATCH("poids",'Inventaire M-1'!#REF!,0))),"Buy",INDEX('Inventaire M-1'!$A$2:$AZ$9320,MATCH(B501,'Inventaire M-1'!$A:$A,0)-1,MATCH("poids",'Inventaire M-1'!#REF!,0))))</f>
        <v/>
      </c>
      <c r="M501" s="175"/>
      <c r="N501" s="157" t="str">
        <f t="shared" si="55"/>
        <v>0</v>
      </c>
      <c r="O501" s="98" t="str">
        <f t="shared" si="54"/>
        <v/>
      </c>
      <c r="P501" s="80" t="str">
        <f t="shared" si="56"/>
        <v>-</v>
      </c>
      <c r="Q501" s="75">
        <v>4.7699999999999997E-8</v>
      </c>
      <c r="R501" s="175" t="str">
        <f>IF(OR('Inventaire M-1'!D253="Dispo/Liquidité Investie",'Inventaire M-1'!D253="Option/Future",'Inventaire M-1'!D253="TCN",'Inventaire M-1'!D253=""),"-",'Inventaire M-1'!A253)</f>
        <v>-</v>
      </c>
      <c r="S501" s="175" t="str">
        <f>IF(OR('Inventaire M-1'!D253="Dispo/Liquidité Investie",'Inventaire M-1'!D253="Option/Future",'Inventaire M-1'!D253="TCN",'Inventaire M-1'!D253=""),"-",'Inventaire M-1'!B253)</f>
        <v>-</v>
      </c>
      <c r="T501" s="175"/>
      <c r="U501" s="175" t="str">
        <f>IF(R501="-","",INDEX('Inventaire M-1'!$A$2:$AG$9334,MATCH(R501,'Inventaire M-1'!$A:$A,0)-1,MATCH("Cours EUR",'Inventaire M-1'!#REF!,0)))</f>
        <v/>
      </c>
      <c r="V501" s="175" t="str">
        <f>IF(R501="-","",IF(ISERROR(INDEX('Inventaire M'!$A$2:$AD$9319,MATCH(R501,'Inventaire M'!$A:$A,0)-1,MATCH("Cours EUR",'Inventaire M'!#REF!,0))),"Sell",INDEX('Inventaire M'!$A$2:$AD$9319,MATCH(R501,'Inventaire M'!$A:$A,0)-1,MATCH("Cours EUR",'Inventaire M'!#REF!,0))))</f>
        <v/>
      </c>
      <c r="W501" s="175"/>
      <c r="X501" s="156" t="str">
        <f>IF(R501="-","",INDEX('Inventaire M-1'!$A$2:$AG$9334,MATCH(R501,'Inventaire M-1'!$A:$A,0)-1,MATCH("quantite",'Inventaire M-1'!#REF!,0)))</f>
        <v/>
      </c>
      <c r="Y501" s="156" t="str">
        <f>IF(S501="-","",IF(ISERROR(INDEX('Inventaire M'!$A$2:$AD$9319,MATCH(R501,'Inventaire M'!$A:$A,0)-1,MATCH("quantite",'Inventaire M'!#REF!,0))),"Sell",INDEX('Inventaire M'!$A$2:$AD$9319,MATCH(R501,'Inventaire M'!$A:$A,0)-1,MATCH("quantite",'Inventaire M'!#REF!,0))))</f>
        <v/>
      </c>
      <c r="Z501" s="175"/>
      <c r="AA501" s="155" t="str">
        <f>IF(R501="-","",INDEX('Inventaire M-1'!$A$2:$AG$9334,MATCH(R501,'Inventaire M-1'!$A:$A,0)-1,MATCH("poids",'Inventaire M-1'!#REF!,0)))</f>
        <v/>
      </c>
      <c r="AB501" s="155" t="str">
        <f>IF(R501="-","",IF(ISERROR(INDEX('Inventaire M'!$A$2:$AD$9319,MATCH(R501,'Inventaire M'!$A:$A,0)-1,MATCH("poids",'Inventaire M'!#REF!,0))),"Sell",INDEX('Inventaire M'!$A$2:$AD$9319,MATCH(R501,'Inventaire M'!$A:$A,0)-1,MATCH("poids",'Inventaire M'!#REF!,0))))</f>
        <v/>
      </c>
      <c r="AC501" s="175"/>
      <c r="AD501" s="157" t="str">
        <f t="shared" si="57"/>
        <v>0</v>
      </c>
      <c r="AE501" s="98" t="str">
        <f t="shared" si="58"/>
        <v/>
      </c>
      <c r="AF501" s="80" t="str">
        <f t="shared" si="59"/>
        <v>-</v>
      </c>
    </row>
    <row r="502" spans="2:32" outlineLevel="1">
      <c r="B502" s="175" t="str">
        <f>IF(OR('Inventaire M'!D275="Dispo/Liquidité Investie",'Inventaire M'!D275="Option/Future",'Inventaire M'!D275="TCN",'Inventaire M'!D275=""),"-",'Inventaire M'!A275)</f>
        <v>-</v>
      </c>
      <c r="C502" s="175" t="str">
        <f>IF(OR('Inventaire M'!D275="Dispo/Liquidité Investie",'Inventaire M'!D275="Option/Future",'Inventaire M'!D275="TCN",'Inventaire M'!D275=""),"-",'Inventaire M'!B275)</f>
        <v>-</v>
      </c>
      <c r="D502" s="175"/>
      <c r="E502" s="175" t="str">
        <f>IF(B502="-","",INDEX('Inventaire M'!$A$2:$AW$9305,MATCH(B502,'Inventaire M'!$A:$A,0)-1,MATCH("Cours EUR",'Inventaire M'!#REF!,0)))</f>
        <v/>
      </c>
      <c r="F502" s="175" t="str">
        <f>IF(B502="-","",IF(ISERROR(INDEX('Inventaire M-1'!$A$2:$AZ$9320,MATCH(B502,'Inventaire M-1'!$A:$A,0)-1,MATCH("Cours EUR",'Inventaire M-1'!#REF!,0))),"Buy",INDEX('Inventaire M-1'!$A$2:$AZ$9320,MATCH(B502,'Inventaire M-1'!$A:$A,0)-1,MATCH("Cours EUR",'Inventaire M-1'!#REF!,0))))</f>
        <v/>
      </c>
      <c r="G502" s="175"/>
      <c r="H502" s="156" t="str">
        <f>IF(B502="-","",INDEX('Inventaire M'!$A$2:$AW$9305,MATCH(B502,'Inventaire M'!$A:$A,0)-1,MATCH("quantite",'Inventaire M'!#REF!,0)))</f>
        <v/>
      </c>
      <c r="I502" s="156" t="str">
        <f>IF(C502="-","",IF(ISERROR(INDEX('Inventaire M-1'!$A$2:$AZ$9320,MATCH(B502,'Inventaire M-1'!$A:$A,0)-1,MATCH("quantite",'Inventaire M-1'!#REF!,0))),"Buy",INDEX('Inventaire M-1'!$A$2:$AZ$9320,MATCH(B502,'Inventaire M-1'!$A:$A,0)-1,MATCH("quantite",'Inventaire M-1'!#REF!,0))))</f>
        <v/>
      </c>
      <c r="J502" s="175"/>
      <c r="K502" s="155" t="str">
        <f>IF(B502="-","",INDEX('Inventaire M'!$A$2:$AW$9305,MATCH(B502,'Inventaire M'!$A:$A,0)-1,MATCH("poids",'Inventaire M'!#REF!,0)))</f>
        <v/>
      </c>
      <c r="L502" s="155" t="str">
        <f>IF(B502="-","",IF(ISERROR(INDEX('Inventaire M-1'!$A$2:$AZ$9320,MATCH(B502,'Inventaire M-1'!$A:$A,0)-1,MATCH("poids",'Inventaire M-1'!#REF!,0))),"Buy",INDEX('Inventaire M-1'!$A$2:$AZ$9320,MATCH(B502,'Inventaire M-1'!$A:$A,0)-1,MATCH("poids",'Inventaire M-1'!#REF!,0))))</f>
        <v/>
      </c>
      <c r="M502" s="175"/>
      <c r="N502" s="157" t="str">
        <f t="shared" si="55"/>
        <v>0</v>
      </c>
      <c r="O502" s="98" t="str">
        <f t="shared" si="54"/>
        <v/>
      </c>
      <c r="P502" s="80" t="str">
        <f t="shared" si="56"/>
        <v>-</v>
      </c>
      <c r="Q502" s="75">
        <v>4.7799999999999998E-8</v>
      </c>
      <c r="R502" s="175" t="str">
        <f>IF(OR('Inventaire M-1'!D254="Dispo/Liquidité Investie",'Inventaire M-1'!D254="Option/Future",'Inventaire M-1'!D254="TCN",'Inventaire M-1'!D254=""),"-",'Inventaire M-1'!A254)</f>
        <v>-</v>
      </c>
      <c r="S502" s="175" t="str">
        <f>IF(OR('Inventaire M-1'!D254="Dispo/Liquidité Investie",'Inventaire M-1'!D254="Option/Future",'Inventaire M-1'!D254="TCN",'Inventaire M-1'!D254=""),"-",'Inventaire M-1'!B254)</f>
        <v>-</v>
      </c>
      <c r="T502" s="175"/>
      <c r="U502" s="175" t="str">
        <f>IF(R502="-","",INDEX('Inventaire M-1'!$A$2:$AG$9334,MATCH(R502,'Inventaire M-1'!$A:$A,0)-1,MATCH("Cours EUR",'Inventaire M-1'!#REF!,0)))</f>
        <v/>
      </c>
      <c r="V502" s="175" t="str">
        <f>IF(R502="-","",IF(ISERROR(INDEX('Inventaire M'!$A$2:$AD$9319,MATCH(R502,'Inventaire M'!$A:$A,0)-1,MATCH("Cours EUR",'Inventaire M'!#REF!,0))),"Sell",INDEX('Inventaire M'!$A$2:$AD$9319,MATCH(R502,'Inventaire M'!$A:$A,0)-1,MATCH("Cours EUR",'Inventaire M'!#REF!,0))))</f>
        <v/>
      </c>
      <c r="W502" s="175"/>
      <c r="X502" s="156" t="str">
        <f>IF(R502="-","",INDEX('Inventaire M-1'!$A$2:$AG$9334,MATCH(R502,'Inventaire M-1'!$A:$A,0)-1,MATCH("quantite",'Inventaire M-1'!#REF!,0)))</f>
        <v/>
      </c>
      <c r="Y502" s="156" t="str">
        <f>IF(S502="-","",IF(ISERROR(INDEX('Inventaire M'!$A$2:$AD$9319,MATCH(R502,'Inventaire M'!$A:$A,0)-1,MATCH("quantite",'Inventaire M'!#REF!,0))),"Sell",INDEX('Inventaire M'!$A$2:$AD$9319,MATCH(R502,'Inventaire M'!$A:$A,0)-1,MATCH("quantite",'Inventaire M'!#REF!,0))))</f>
        <v/>
      </c>
      <c r="Z502" s="175"/>
      <c r="AA502" s="155" t="str">
        <f>IF(R502="-","",INDEX('Inventaire M-1'!$A$2:$AG$9334,MATCH(R502,'Inventaire M-1'!$A:$A,0)-1,MATCH("poids",'Inventaire M-1'!#REF!,0)))</f>
        <v/>
      </c>
      <c r="AB502" s="155" t="str">
        <f>IF(R502="-","",IF(ISERROR(INDEX('Inventaire M'!$A$2:$AD$9319,MATCH(R502,'Inventaire M'!$A:$A,0)-1,MATCH("poids",'Inventaire M'!#REF!,0))),"Sell",INDEX('Inventaire M'!$A$2:$AD$9319,MATCH(R502,'Inventaire M'!$A:$A,0)-1,MATCH("poids",'Inventaire M'!#REF!,0))))</f>
        <v/>
      </c>
      <c r="AC502" s="175"/>
      <c r="AD502" s="157" t="str">
        <f t="shared" si="57"/>
        <v>0</v>
      </c>
      <c r="AE502" s="98" t="str">
        <f t="shared" si="58"/>
        <v/>
      </c>
      <c r="AF502" s="80" t="str">
        <f t="shared" si="59"/>
        <v>-</v>
      </c>
    </row>
    <row r="503" spans="2:32" outlineLevel="1">
      <c r="B503" s="175" t="str">
        <f>IF(OR('Inventaire M'!D276="Dispo/Liquidité Investie",'Inventaire M'!D276="Option/Future",'Inventaire M'!D276="TCN",'Inventaire M'!D276=""),"-",'Inventaire M'!A276)</f>
        <v>-</v>
      </c>
      <c r="C503" s="175" t="str">
        <f>IF(OR('Inventaire M'!D276="Dispo/Liquidité Investie",'Inventaire M'!D276="Option/Future",'Inventaire M'!D276="TCN",'Inventaire M'!D276=""),"-",'Inventaire M'!B276)</f>
        <v>-</v>
      </c>
      <c r="D503" s="175"/>
      <c r="E503" s="175" t="str">
        <f>IF(B503="-","",INDEX('Inventaire M'!$A$2:$AW$9305,MATCH(B503,'Inventaire M'!$A:$A,0)-1,MATCH("Cours EUR",'Inventaire M'!#REF!,0)))</f>
        <v/>
      </c>
      <c r="F503" s="175" t="str">
        <f>IF(B503="-","",IF(ISERROR(INDEX('Inventaire M-1'!$A$2:$AZ$9320,MATCH(B503,'Inventaire M-1'!$A:$A,0)-1,MATCH("Cours EUR",'Inventaire M-1'!#REF!,0))),"Buy",INDEX('Inventaire M-1'!$A$2:$AZ$9320,MATCH(B503,'Inventaire M-1'!$A:$A,0)-1,MATCH("Cours EUR",'Inventaire M-1'!#REF!,0))))</f>
        <v/>
      </c>
      <c r="G503" s="175"/>
      <c r="H503" s="156" t="str">
        <f>IF(B503="-","",INDEX('Inventaire M'!$A$2:$AW$9305,MATCH(B503,'Inventaire M'!$A:$A,0)-1,MATCH("quantite",'Inventaire M'!#REF!,0)))</f>
        <v/>
      </c>
      <c r="I503" s="156" t="str">
        <f>IF(C503="-","",IF(ISERROR(INDEX('Inventaire M-1'!$A$2:$AZ$9320,MATCH(B503,'Inventaire M-1'!$A:$A,0)-1,MATCH("quantite",'Inventaire M-1'!#REF!,0))),"Buy",INDEX('Inventaire M-1'!$A$2:$AZ$9320,MATCH(B503,'Inventaire M-1'!$A:$A,0)-1,MATCH("quantite",'Inventaire M-1'!#REF!,0))))</f>
        <v/>
      </c>
      <c r="J503" s="175"/>
      <c r="K503" s="155" t="str">
        <f>IF(B503="-","",INDEX('Inventaire M'!$A$2:$AW$9305,MATCH(B503,'Inventaire M'!$A:$A,0)-1,MATCH("poids",'Inventaire M'!#REF!,0)))</f>
        <v/>
      </c>
      <c r="L503" s="155" t="str">
        <f>IF(B503="-","",IF(ISERROR(INDEX('Inventaire M-1'!$A$2:$AZ$9320,MATCH(B503,'Inventaire M-1'!$A:$A,0)-1,MATCH("poids",'Inventaire M-1'!#REF!,0))),"Buy",INDEX('Inventaire M-1'!$A$2:$AZ$9320,MATCH(B503,'Inventaire M-1'!$A:$A,0)-1,MATCH("poids",'Inventaire M-1'!#REF!,0))))</f>
        <v/>
      </c>
      <c r="M503" s="175"/>
      <c r="N503" s="157" t="str">
        <f t="shared" si="55"/>
        <v>0</v>
      </c>
      <c r="O503" s="98" t="str">
        <f t="shared" si="54"/>
        <v/>
      </c>
      <c r="P503" s="80" t="str">
        <f t="shared" si="56"/>
        <v>-</v>
      </c>
      <c r="Q503" s="75">
        <v>4.7899999999999999E-8</v>
      </c>
      <c r="R503" s="175" t="str">
        <f>IF(OR('Inventaire M-1'!D255="Dispo/Liquidité Investie",'Inventaire M-1'!D255="Option/Future",'Inventaire M-1'!D255="TCN",'Inventaire M-1'!D255=""),"-",'Inventaire M-1'!A255)</f>
        <v>-</v>
      </c>
      <c r="S503" s="175" t="str">
        <f>IF(OR('Inventaire M-1'!D255="Dispo/Liquidité Investie",'Inventaire M-1'!D255="Option/Future",'Inventaire M-1'!D255="TCN",'Inventaire M-1'!D255=""),"-",'Inventaire M-1'!B255)</f>
        <v>-</v>
      </c>
      <c r="T503" s="175"/>
      <c r="U503" s="175" t="str">
        <f>IF(R503="-","",INDEX('Inventaire M-1'!$A$2:$AG$9334,MATCH(R503,'Inventaire M-1'!$A:$A,0)-1,MATCH("Cours EUR",'Inventaire M-1'!#REF!,0)))</f>
        <v/>
      </c>
      <c r="V503" s="175" t="str">
        <f>IF(R503="-","",IF(ISERROR(INDEX('Inventaire M'!$A$2:$AD$9319,MATCH(R503,'Inventaire M'!$A:$A,0)-1,MATCH("Cours EUR",'Inventaire M'!#REF!,0))),"Sell",INDEX('Inventaire M'!$A$2:$AD$9319,MATCH(R503,'Inventaire M'!$A:$A,0)-1,MATCH("Cours EUR",'Inventaire M'!#REF!,0))))</f>
        <v/>
      </c>
      <c r="W503" s="175"/>
      <c r="X503" s="156" t="str">
        <f>IF(R503="-","",INDEX('Inventaire M-1'!$A$2:$AG$9334,MATCH(R503,'Inventaire M-1'!$A:$A,0)-1,MATCH("quantite",'Inventaire M-1'!#REF!,0)))</f>
        <v/>
      </c>
      <c r="Y503" s="156" t="str">
        <f>IF(S503="-","",IF(ISERROR(INDEX('Inventaire M'!$A$2:$AD$9319,MATCH(R503,'Inventaire M'!$A:$A,0)-1,MATCH("quantite",'Inventaire M'!#REF!,0))),"Sell",INDEX('Inventaire M'!$A$2:$AD$9319,MATCH(R503,'Inventaire M'!$A:$A,0)-1,MATCH("quantite",'Inventaire M'!#REF!,0))))</f>
        <v/>
      </c>
      <c r="Z503" s="175"/>
      <c r="AA503" s="155" t="str">
        <f>IF(R503="-","",INDEX('Inventaire M-1'!$A$2:$AG$9334,MATCH(R503,'Inventaire M-1'!$A:$A,0)-1,MATCH("poids",'Inventaire M-1'!#REF!,0)))</f>
        <v/>
      </c>
      <c r="AB503" s="155" t="str">
        <f>IF(R503="-","",IF(ISERROR(INDEX('Inventaire M'!$A$2:$AD$9319,MATCH(R503,'Inventaire M'!$A:$A,0)-1,MATCH("poids",'Inventaire M'!#REF!,0))),"Sell",INDEX('Inventaire M'!$A$2:$AD$9319,MATCH(R503,'Inventaire M'!$A:$A,0)-1,MATCH("poids",'Inventaire M'!#REF!,0))))</f>
        <v/>
      </c>
      <c r="AC503" s="175"/>
      <c r="AD503" s="157" t="str">
        <f t="shared" si="57"/>
        <v>0</v>
      </c>
      <c r="AE503" s="98" t="str">
        <f t="shared" si="58"/>
        <v/>
      </c>
      <c r="AF503" s="80" t="str">
        <f t="shared" si="59"/>
        <v>-</v>
      </c>
    </row>
    <row r="504" spans="2:32" outlineLevel="1">
      <c r="B504" s="175" t="str">
        <f>IF(OR('Inventaire M'!D277="Dispo/Liquidité Investie",'Inventaire M'!D277="Option/Future",'Inventaire M'!D277="TCN",'Inventaire M'!D277=""),"-",'Inventaire M'!A277)</f>
        <v>-</v>
      </c>
      <c r="C504" s="175" t="str">
        <f>IF(OR('Inventaire M'!D277="Dispo/Liquidité Investie",'Inventaire M'!D277="Option/Future",'Inventaire M'!D277="TCN",'Inventaire M'!D277=""),"-",'Inventaire M'!B277)</f>
        <v>-</v>
      </c>
      <c r="D504" s="175"/>
      <c r="E504" s="175" t="str">
        <f>IF(B504="-","",INDEX('Inventaire M'!$A$2:$AW$9305,MATCH(B504,'Inventaire M'!$A:$A,0)-1,MATCH("Cours EUR",'Inventaire M'!#REF!,0)))</f>
        <v/>
      </c>
      <c r="F504" s="175" t="str">
        <f>IF(B504="-","",IF(ISERROR(INDEX('Inventaire M-1'!$A$2:$AZ$9320,MATCH(B504,'Inventaire M-1'!$A:$A,0)-1,MATCH("Cours EUR",'Inventaire M-1'!#REF!,0))),"Buy",INDEX('Inventaire M-1'!$A$2:$AZ$9320,MATCH(B504,'Inventaire M-1'!$A:$A,0)-1,MATCH("Cours EUR",'Inventaire M-1'!#REF!,0))))</f>
        <v/>
      </c>
      <c r="G504" s="175"/>
      <c r="H504" s="156" t="str">
        <f>IF(B504="-","",INDEX('Inventaire M'!$A$2:$AW$9305,MATCH(B504,'Inventaire M'!$A:$A,0)-1,MATCH("quantite",'Inventaire M'!#REF!,0)))</f>
        <v/>
      </c>
      <c r="I504" s="156" t="str">
        <f>IF(C504="-","",IF(ISERROR(INDEX('Inventaire M-1'!$A$2:$AZ$9320,MATCH(B504,'Inventaire M-1'!$A:$A,0)-1,MATCH("quantite",'Inventaire M-1'!#REF!,0))),"Buy",INDEX('Inventaire M-1'!$A$2:$AZ$9320,MATCH(B504,'Inventaire M-1'!$A:$A,0)-1,MATCH("quantite",'Inventaire M-1'!#REF!,0))))</f>
        <v/>
      </c>
      <c r="J504" s="175"/>
      <c r="K504" s="155" t="str">
        <f>IF(B504="-","",INDEX('Inventaire M'!$A$2:$AW$9305,MATCH(B504,'Inventaire M'!$A:$A,0)-1,MATCH("poids",'Inventaire M'!#REF!,0)))</f>
        <v/>
      </c>
      <c r="L504" s="155" t="str">
        <f>IF(B504="-","",IF(ISERROR(INDEX('Inventaire M-1'!$A$2:$AZ$9320,MATCH(B504,'Inventaire M-1'!$A:$A,0)-1,MATCH("poids",'Inventaire M-1'!#REF!,0))),"Buy",INDEX('Inventaire M-1'!$A$2:$AZ$9320,MATCH(B504,'Inventaire M-1'!$A:$A,0)-1,MATCH("poids",'Inventaire M-1'!#REF!,0))))</f>
        <v/>
      </c>
      <c r="M504" s="175"/>
      <c r="N504" s="157" t="str">
        <f t="shared" si="55"/>
        <v>0</v>
      </c>
      <c r="O504" s="98" t="str">
        <f t="shared" si="54"/>
        <v/>
      </c>
      <c r="P504" s="80" t="str">
        <f t="shared" si="56"/>
        <v>-</v>
      </c>
      <c r="Q504" s="75">
        <v>4.8E-8</v>
      </c>
      <c r="R504" s="175" t="str">
        <f>IF(OR('Inventaire M-1'!D256="Dispo/Liquidité Investie",'Inventaire M-1'!D256="Option/Future",'Inventaire M-1'!D256="TCN",'Inventaire M-1'!D256=""),"-",'Inventaire M-1'!A256)</f>
        <v>-</v>
      </c>
      <c r="S504" s="175" t="str">
        <f>IF(OR('Inventaire M-1'!D256="Dispo/Liquidité Investie",'Inventaire M-1'!D256="Option/Future",'Inventaire M-1'!D256="TCN",'Inventaire M-1'!D256=""),"-",'Inventaire M-1'!B256)</f>
        <v>-</v>
      </c>
      <c r="T504" s="175"/>
      <c r="U504" s="175" t="str">
        <f>IF(R504="-","",INDEX('Inventaire M-1'!$A$2:$AG$9334,MATCH(R504,'Inventaire M-1'!$A:$A,0)-1,MATCH("Cours EUR",'Inventaire M-1'!#REF!,0)))</f>
        <v/>
      </c>
      <c r="V504" s="175" t="str">
        <f>IF(R504="-","",IF(ISERROR(INDEX('Inventaire M'!$A$2:$AD$9319,MATCH(R504,'Inventaire M'!$A:$A,0)-1,MATCH("Cours EUR",'Inventaire M'!#REF!,0))),"Sell",INDEX('Inventaire M'!$A$2:$AD$9319,MATCH(R504,'Inventaire M'!$A:$A,0)-1,MATCH("Cours EUR",'Inventaire M'!#REF!,0))))</f>
        <v/>
      </c>
      <c r="W504" s="175"/>
      <c r="X504" s="156" t="str">
        <f>IF(R504="-","",INDEX('Inventaire M-1'!$A$2:$AG$9334,MATCH(R504,'Inventaire M-1'!$A:$A,0)-1,MATCH("quantite",'Inventaire M-1'!#REF!,0)))</f>
        <v/>
      </c>
      <c r="Y504" s="156" t="str">
        <f>IF(S504="-","",IF(ISERROR(INDEX('Inventaire M'!$A$2:$AD$9319,MATCH(R504,'Inventaire M'!$A:$A,0)-1,MATCH("quantite",'Inventaire M'!#REF!,0))),"Sell",INDEX('Inventaire M'!$A$2:$AD$9319,MATCH(R504,'Inventaire M'!$A:$A,0)-1,MATCH("quantite",'Inventaire M'!#REF!,0))))</f>
        <v/>
      </c>
      <c r="Z504" s="175"/>
      <c r="AA504" s="155" t="str">
        <f>IF(R504="-","",INDEX('Inventaire M-1'!$A$2:$AG$9334,MATCH(R504,'Inventaire M-1'!$A:$A,0)-1,MATCH("poids",'Inventaire M-1'!#REF!,0)))</f>
        <v/>
      </c>
      <c r="AB504" s="155" t="str">
        <f>IF(R504="-","",IF(ISERROR(INDEX('Inventaire M'!$A$2:$AD$9319,MATCH(R504,'Inventaire M'!$A:$A,0)-1,MATCH("poids",'Inventaire M'!#REF!,0))),"Sell",INDEX('Inventaire M'!$A$2:$AD$9319,MATCH(R504,'Inventaire M'!$A:$A,0)-1,MATCH("poids",'Inventaire M'!#REF!,0))))</f>
        <v/>
      </c>
      <c r="AC504" s="175"/>
      <c r="AD504" s="157" t="str">
        <f t="shared" si="57"/>
        <v>0</v>
      </c>
      <c r="AE504" s="98" t="str">
        <f t="shared" si="58"/>
        <v/>
      </c>
      <c r="AF504" s="80" t="str">
        <f t="shared" si="59"/>
        <v>-</v>
      </c>
    </row>
    <row r="505" spans="2:32" outlineLevel="1">
      <c r="B505" s="175" t="str">
        <f>IF(OR('Inventaire M'!D278="Dispo/Liquidité Investie",'Inventaire M'!D278="Option/Future",'Inventaire M'!D278="TCN",'Inventaire M'!D278=""),"-",'Inventaire M'!A278)</f>
        <v>-</v>
      </c>
      <c r="C505" s="175" t="str">
        <f>IF(OR('Inventaire M'!D278="Dispo/Liquidité Investie",'Inventaire M'!D278="Option/Future",'Inventaire M'!D278="TCN",'Inventaire M'!D278=""),"-",'Inventaire M'!B278)</f>
        <v>-</v>
      </c>
      <c r="D505" s="175"/>
      <c r="E505" s="175" t="str">
        <f>IF(B505="-","",INDEX('Inventaire M'!$A$2:$AW$9305,MATCH(B505,'Inventaire M'!$A:$A,0)-1,MATCH("Cours EUR",'Inventaire M'!#REF!,0)))</f>
        <v/>
      </c>
      <c r="F505" s="175" t="str">
        <f>IF(B505="-","",IF(ISERROR(INDEX('Inventaire M-1'!$A$2:$AZ$9320,MATCH(B505,'Inventaire M-1'!$A:$A,0)-1,MATCH("Cours EUR",'Inventaire M-1'!#REF!,0))),"Buy",INDEX('Inventaire M-1'!$A$2:$AZ$9320,MATCH(B505,'Inventaire M-1'!$A:$A,0)-1,MATCH("Cours EUR",'Inventaire M-1'!#REF!,0))))</f>
        <v/>
      </c>
      <c r="G505" s="175"/>
      <c r="H505" s="156" t="str">
        <f>IF(B505="-","",INDEX('Inventaire M'!$A$2:$AW$9305,MATCH(B505,'Inventaire M'!$A:$A,0)-1,MATCH("quantite",'Inventaire M'!#REF!,0)))</f>
        <v/>
      </c>
      <c r="I505" s="156" t="str">
        <f>IF(C505="-","",IF(ISERROR(INDEX('Inventaire M-1'!$A$2:$AZ$9320,MATCH(B505,'Inventaire M-1'!$A:$A,0)-1,MATCH("quantite",'Inventaire M-1'!#REF!,0))),"Buy",INDEX('Inventaire M-1'!$A$2:$AZ$9320,MATCH(B505,'Inventaire M-1'!$A:$A,0)-1,MATCH("quantite",'Inventaire M-1'!#REF!,0))))</f>
        <v/>
      </c>
      <c r="J505" s="175"/>
      <c r="K505" s="155" t="str">
        <f>IF(B505="-","",INDEX('Inventaire M'!$A$2:$AW$9305,MATCH(B505,'Inventaire M'!$A:$A,0)-1,MATCH("poids",'Inventaire M'!#REF!,0)))</f>
        <v/>
      </c>
      <c r="L505" s="155" t="str">
        <f>IF(B505="-","",IF(ISERROR(INDEX('Inventaire M-1'!$A$2:$AZ$9320,MATCH(B505,'Inventaire M-1'!$A:$A,0)-1,MATCH("poids",'Inventaire M-1'!#REF!,0))),"Buy",INDEX('Inventaire M-1'!$A$2:$AZ$9320,MATCH(B505,'Inventaire M-1'!$A:$A,0)-1,MATCH("poids",'Inventaire M-1'!#REF!,0))))</f>
        <v/>
      </c>
      <c r="M505" s="175"/>
      <c r="N505" s="157" t="str">
        <f t="shared" si="55"/>
        <v>0</v>
      </c>
      <c r="O505" s="98" t="str">
        <f t="shared" si="54"/>
        <v/>
      </c>
      <c r="P505" s="80" t="str">
        <f t="shared" si="56"/>
        <v>-</v>
      </c>
      <c r="Q505" s="75">
        <v>4.8100000000000001E-8</v>
      </c>
      <c r="R505" s="175" t="str">
        <f>IF(OR('Inventaire M-1'!D257="Dispo/Liquidité Investie",'Inventaire M-1'!D257="Option/Future",'Inventaire M-1'!D257="TCN",'Inventaire M-1'!D257=""),"-",'Inventaire M-1'!A257)</f>
        <v>-</v>
      </c>
      <c r="S505" s="175" t="str">
        <f>IF(OR('Inventaire M-1'!D257="Dispo/Liquidité Investie",'Inventaire M-1'!D257="Option/Future",'Inventaire M-1'!D257="TCN",'Inventaire M-1'!D257=""),"-",'Inventaire M-1'!B257)</f>
        <v>-</v>
      </c>
      <c r="T505" s="175"/>
      <c r="U505" s="175" t="str">
        <f>IF(R505="-","",INDEX('Inventaire M-1'!$A$2:$AG$9334,MATCH(R505,'Inventaire M-1'!$A:$A,0)-1,MATCH("Cours EUR",'Inventaire M-1'!#REF!,0)))</f>
        <v/>
      </c>
      <c r="V505" s="175" t="str">
        <f>IF(R505="-","",IF(ISERROR(INDEX('Inventaire M'!$A$2:$AD$9319,MATCH(R505,'Inventaire M'!$A:$A,0)-1,MATCH("Cours EUR",'Inventaire M'!#REF!,0))),"Sell",INDEX('Inventaire M'!$A$2:$AD$9319,MATCH(R505,'Inventaire M'!$A:$A,0)-1,MATCH("Cours EUR",'Inventaire M'!#REF!,0))))</f>
        <v/>
      </c>
      <c r="W505" s="175"/>
      <c r="X505" s="156" t="str">
        <f>IF(R505="-","",INDEX('Inventaire M-1'!$A$2:$AG$9334,MATCH(R505,'Inventaire M-1'!$A:$A,0)-1,MATCH("quantite",'Inventaire M-1'!#REF!,0)))</f>
        <v/>
      </c>
      <c r="Y505" s="156" t="str">
        <f>IF(S505="-","",IF(ISERROR(INDEX('Inventaire M'!$A$2:$AD$9319,MATCH(R505,'Inventaire M'!$A:$A,0)-1,MATCH("quantite",'Inventaire M'!#REF!,0))),"Sell",INDEX('Inventaire M'!$A$2:$AD$9319,MATCH(R505,'Inventaire M'!$A:$A,0)-1,MATCH("quantite",'Inventaire M'!#REF!,0))))</f>
        <v/>
      </c>
      <c r="Z505" s="175"/>
      <c r="AA505" s="155" t="str">
        <f>IF(R505="-","",INDEX('Inventaire M-1'!$A$2:$AG$9334,MATCH(R505,'Inventaire M-1'!$A:$A,0)-1,MATCH("poids",'Inventaire M-1'!#REF!,0)))</f>
        <v/>
      </c>
      <c r="AB505" s="155" t="str">
        <f>IF(R505="-","",IF(ISERROR(INDEX('Inventaire M'!$A$2:$AD$9319,MATCH(R505,'Inventaire M'!$A:$A,0)-1,MATCH("poids",'Inventaire M'!#REF!,0))),"Sell",INDEX('Inventaire M'!$A$2:$AD$9319,MATCH(R505,'Inventaire M'!$A:$A,0)-1,MATCH("poids",'Inventaire M'!#REF!,0))))</f>
        <v/>
      </c>
      <c r="AC505" s="175"/>
      <c r="AD505" s="157" t="str">
        <f t="shared" si="57"/>
        <v>0</v>
      </c>
      <c r="AE505" s="98" t="str">
        <f t="shared" si="58"/>
        <v/>
      </c>
      <c r="AF505" s="80" t="str">
        <f t="shared" si="59"/>
        <v>-</v>
      </c>
    </row>
    <row r="506" spans="2:32" outlineLevel="1">
      <c r="B506" s="175" t="str">
        <f>IF(OR('Inventaire M'!D279="Dispo/Liquidité Investie",'Inventaire M'!D279="Option/Future",'Inventaire M'!D279="TCN",'Inventaire M'!D279=""),"-",'Inventaire M'!A279)</f>
        <v>-</v>
      </c>
      <c r="C506" s="175" t="str">
        <f>IF(OR('Inventaire M'!D279="Dispo/Liquidité Investie",'Inventaire M'!D279="Option/Future",'Inventaire M'!D279="TCN",'Inventaire M'!D279=""),"-",'Inventaire M'!B279)</f>
        <v>-</v>
      </c>
      <c r="D506" s="175"/>
      <c r="E506" s="175" t="str">
        <f>IF(B506="-","",INDEX('Inventaire M'!$A$2:$AW$9305,MATCH(B506,'Inventaire M'!$A:$A,0)-1,MATCH("Cours EUR",'Inventaire M'!#REF!,0)))</f>
        <v/>
      </c>
      <c r="F506" s="175" t="str">
        <f>IF(B506="-","",IF(ISERROR(INDEX('Inventaire M-1'!$A$2:$AZ$9320,MATCH(B506,'Inventaire M-1'!$A:$A,0)-1,MATCH("Cours EUR",'Inventaire M-1'!#REF!,0))),"Buy",INDEX('Inventaire M-1'!$A$2:$AZ$9320,MATCH(B506,'Inventaire M-1'!$A:$A,0)-1,MATCH("Cours EUR",'Inventaire M-1'!#REF!,0))))</f>
        <v/>
      </c>
      <c r="G506" s="175"/>
      <c r="H506" s="156" t="str">
        <f>IF(B506="-","",INDEX('Inventaire M'!$A$2:$AW$9305,MATCH(B506,'Inventaire M'!$A:$A,0)-1,MATCH("quantite",'Inventaire M'!#REF!,0)))</f>
        <v/>
      </c>
      <c r="I506" s="156" t="str">
        <f>IF(C506="-","",IF(ISERROR(INDEX('Inventaire M-1'!$A$2:$AZ$9320,MATCH(B506,'Inventaire M-1'!$A:$A,0)-1,MATCH("quantite",'Inventaire M-1'!#REF!,0))),"Buy",INDEX('Inventaire M-1'!$A$2:$AZ$9320,MATCH(B506,'Inventaire M-1'!$A:$A,0)-1,MATCH("quantite",'Inventaire M-1'!#REF!,0))))</f>
        <v/>
      </c>
      <c r="J506" s="175"/>
      <c r="K506" s="155" t="str">
        <f>IF(B506="-","",INDEX('Inventaire M'!$A$2:$AW$9305,MATCH(B506,'Inventaire M'!$A:$A,0)-1,MATCH("poids",'Inventaire M'!#REF!,0)))</f>
        <v/>
      </c>
      <c r="L506" s="155" t="str">
        <f>IF(B506="-","",IF(ISERROR(INDEX('Inventaire M-1'!$A$2:$AZ$9320,MATCH(B506,'Inventaire M-1'!$A:$A,0)-1,MATCH("poids",'Inventaire M-1'!#REF!,0))),"Buy",INDEX('Inventaire M-1'!$A$2:$AZ$9320,MATCH(B506,'Inventaire M-1'!$A:$A,0)-1,MATCH("poids",'Inventaire M-1'!#REF!,0))))</f>
        <v/>
      </c>
      <c r="M506" s="175"/>
      <c r="N506" s="157" t="str">
        <f t="shared" si="55"/>
        <v>0</v>
      </c>
      <c r="O506" s="98" t="str">
        <f t="shared" si="54"/>
        <v/>
      </c>
      <c r="P506" s="80" t="str">
        <f t="shared" si="56"/>
        <v>-</v>
      </c>
      <c r="Q506" s="75">
        <v>4.8200000000000001E-8</v>
      </c>
      <c r="R506" s="175" t="str">
        <f>IF(OR('Inventaire M-1'!D258="Dispo/Liquidité Investie",'Inventaire M-1'!D258="Option/Future",'Inventaire M-1'!D258="TCN",'Inventaire M-1'!D258=""),"-",'Inventaire M-1'!A258)</f>
        <v>-</v>
      </c>
      <c r="S506" s="175" t="str">
        <f>IF(OR('Inventaire M-1'!D258="Dispo/Liquidité Investie",'Inventaire M-1'!D258="Option/Future",'Inventaire M-1'!D258="TCN",'Inventaire M-1'!D258=""),"-",'Inventaire M-1'!B258)</f>
        <v>-</v>
      </c>
      <c r="T506" s="175"/>
      <c r="U506" s="175" t="str">
        <f>IF(R506="-","",INDEX('Inventaire M-1'!$A$2:$AG$9334,MATCH(R506,'Inventaire M-1'!$A:$A,0)-1,MATCH("Cours EUR",'Inventaire M-1'!#REF!,0)))</f>
        <v/>
      </c>
      <c r="V506" s="175" t="str">
        <f>IF(R506="-","",IF(ISERROR(INDEX('Inventaire M'!$A$2:$AD$9319,MATCH(R506,'Inventaire M'!$A:$A,0)-1,MATCH("Cours EUR",'Inventaire M'!#REF!,0))),"Sell",INDEX('Inventaire M'!$A$2:$AD$9319,MATCH(R506,'Inventaire M'!$A:$A,0)-1,MATCH("Cours EUR",'Inventaire M'!#REF!,0))))</f>
        <v/>
      </c>
      <c r="W506" s="175"/>
      <c r="X506" s="156" t="str">
        <f>IF(R506="-","",INDEX('Inventaire M-1'!$A$2:$AG$9334,MATCH(R506,'Inventaire M-1'!$A:$A,0)-1,MATCH("quantite",'Inventaire M-1'!#REF!,0)))</f>
        <v/>
      </c>
      <c r="Y506" s="156" t="str">
        <f>IF(S506="-","",IF(ISERROR(INDEX('Inventaire M'!$A$2:$AD$9319,MATCH(R506,'Inventaire M'!$A:$A,0)-1,MATCH("quantite",'Inventaire M'!#REF!,0))),"Sell",INDEX('Inventaire M'!$A$2:$AD$9319,MATCH(R506,'Inventaire M'!$A:$A,0)-1,MATCH("quantite",'Inventaire M'!#REF!,0))))</f>
        <v/>
      </c>
      <c r="Z506" s="175"/>
      <c r="AA506" s="155" t="str">
        <f>IF(R506="-","",INDEX('Inventaire M-1'!$A$2:$AG$9334,MATCH(R506,'Inventaire M-1'!$A:$A,0)-1,MATCH("poids",'Inventaire M-1'!#REF!,0)))</f>
        <v/>
      </c>
      <c r="AB506" s="155" t="str">
        <f>IF(R506="-","",IF(ISERROR(INDEX('Inventaire M'!$A$2:$AD$9319,MATCH(R506,'Inventaire M'!$A:$A,0)-1,MATCH("poids",'Inventaire M'!#REF!,0))),"Sell",INDEX('Inventaire M'!$A$2:$AD$9319,MATCH(R506,'Inventaire M'!$A:$A,0)-1,MATCH("poids",'Inventaire M'!#REF!,0))))</f>
        <v/>
      </c>
      <c r="AC506" s="175"/>
      <c r="AD506" s="157" t="str">
        <f t="shared" si="57"/>
        <v>0</v>
      </c>
      <c r="AE506" s="98" t="str">
        <f t="shared" si="58"/>
        <v/>
      </c>
      <c r="AF506" s="80" t="str">
        <f t="shared" si="59"/>
        <v>-</v>
      </c>
    </row>
    <row r="507" spans="2:32" outlineLevel="1">
      <c r="B507" s="175" t="str">
        <f>IF(OR('Inventaire M'!D280="Dispo/Liquidité Investie",'Inventaire M'!D280="Option/Future",'Inventaire M'!D280="TCN",'Inventaire M'!D280=""),"-",'Inventaire M'!A280)</f>
        <v>-</v>
      </c>
      <c r="C507" s="175" t="str">
        <f>IF(OR('Inventaire M'!D280="Dispo/Liquidité Investie",'Inventaire M'!D280="Option/Future",'Inventaire M'!D280="TCN",'Inventaire M'!D280=""),"-",'Inventaire M'!B280)</f>
        <v>-</v>
      </c>
      <c r="D507" s="175"/>
      <c r="E507" s="175" t="str">
        <f>IF(B507="-","",INDEX('Inventaire M'!$A$2:$AW$9305,MATCH(B507,'Inventaire M'!$A:$A,0)-1,MATCH("Cours EUR",'Inventaire M'!#REF!,0)))</f>
        <v/>
      </c>
      <c r="F507" s="175" t="str">
        <f>IF(B507="-","",IF(ISERROR(INDEX('Inventaire M-1'!$A$2:$AZ$9320,MATCH(B507,'Inventaire M-1'!$A:$A,0)-1,MATCH("Cours EUR",'Inventaire M-1'!#REF!,0))),"Buy",INDEX('Inventaire M-1'!$A$2:$AZ$9320,MATCH(B507,'Inventaire M-1'!$A:$A,0)-1,MATCH("Cours EUR",'Inventaire M-1'!#REF!,0))))</f>
        <v/>
      </c>
      <c r="G507" s="175"/>
      <c r="H507" s="156" t="str">
        <f>IF(B507="-","",INDEX('Inventaire M'!$A$2:$AW$9305,MATCH(B507,'Inventaire M'!$A:$A,0)-1,MATCH("quantite",'Inventaire M'!#REF!,0)))</f>
        <v/>
      </c>
      <c r="I507" s="156" t="str">
        <f>IF(C507="-","",IF(ISERROR(INDEX('Inventaire M-1'!$A$2:$AZ$9320,MATCH(B507,'Inventaire M-1'!$A:$A,0)-1,MATCH("quantite",'Inventaire M-1'!#REF!,0))),"Buy",INDEX('Inventaire M-1'!$A$2:$AZ$9320,MATCH(B507,'Inventaire M-1'!$A:$A,0)-1,MATCH("quantite",'Inventaire M-1'!#REF!,0))))</f>
        <v/>
      </c>
      <c r="J507" s="175"/>
      <c r="K507" s="155" t="str">
        <f>IF(B507="-","",INDEX('Inventaire M'!$A$2:$AW$9305,MATCH(B507,'Inventaire M'!$A:$A,0)-1,MATCH("poids",'Inventaire M'!#REF!,0)))</f>
        <v/>
      </c>
      <c r="L507" s="155" t="str">
        <f>IF(B507="-","",IF(ISERROR(INDEX('Inventaire M-1'!$A$2:$AZ$9320,MATCH(B507,'Inventaire M-1'!$A:$A,0)-1,MATCH("poids",'Inventaire M-1'!#REF!,0))),"Buy",INDEX('Inventaire M-1'!$A$2:$AZ$9320,MATCH(B507,'Inventaire M-1'!$A:$A,0)-1,MATCH("poids",'Inventaire M-1'!#REF!,0))))</f>
        <v/>
      </c>
      <c r="M507" s="175"/>
      <c r="N507" s="157" t="str">
        <f t="shared" si="55"/>
        <v>0</v>
      </c>
      <c r="O507" s="98" t="str">
        <f t="shared" si="54"/>
        <v/>
      </c>
      <c r="P507" s="80" t="str">
        <f t="shared" si="56"/>
        <v>-</v>
      </c>
      <c r="Q507" s="75">
        <v>4.8300000000000002E-8</v>
      </c>
      <c r="R507" s="175" t="str">
        <f>IF(OR('Inventaire M-1'!D259="Dispo/Liquidité Investie",'Inventaire M-1'!D259="Option/Future",'Inventaire M-1'!D259="TCN",'Inventaire M-1'!D259=""),"-",'Inventaire M-1'!A259)</f>
        <v>-</v>
      </c>
      <c r="S507" s="175" t="str">
        <f>IF(OR('Inventaire M-1'!D259="Dispo/Liquidité Investie",'Inventaire M-1'!D259="Option/Future",'Inventaire M-1'!D259="TCN",'Inventaire M-1'!D259=""),"-",'Inventaire M-1'!B259)</f>
        <v>-</v>
      </c>
      <c r="T507" s="175"/>
      <c r="U507" s="175" t="str">
        <f>IF(R507="-","",INDEX('Inventaire M-1'!$A$2:$AG$9334,MATCH(R507,'Inventaire M-1'!$A:$A,0)-1,MATCH("Cours EUR",'Inventaire M-1'!#REF!,0)))</f>
        <v/>
      </c>
      <c r="V507" s="175" t="str">
        <f>IF(R507="-","",IF(ISERROR(INDEX('Inventaire M'!$A$2:$AD$9319,MATCH(R507,'Inventaire M'!$A:$A,0)-1,MATCH("Cours EUR",'Inventaire M'!#REF!,0))),"Sell",INDEX('Inventaire M'!$A$2:$AD$9319,MATCH(R507,'Inventaire M'!$A:$A,0)-1,MATCH("Cours EUR",'Inventaire M'!#REF!,0))))</f>
        <v/>
      </c>
      <c r="W507" s="175"/>
      <c r="X507" s="156" t="str">
        <f>IF(R507="-","",INDEX('Inventaire M-1'!$A$2:$AG$9334,MATCH(R507,'Inventaire M-1'!$A:$A,0)-1,MATCH("quantite",'Inventaire M-1'!#REF!,0)))</f>
        <v/>
      </c>
      <c r="Y507" s="156" t="str">
        <f>IF(S507="-","",IF(ISERROR(INDEX('Inventaire M'!$A$2:$AD$9319,MATCH(R507,'Inventaire M'!$A:$A,0)-1,MATCH("quantite",'Inventaire M'!#REF!,0))),"Sell",INDEX('Inventaire M'!$A$2:$AD$9319,MATCH(R507,'Inventaire M'!$A:$A,0)-1,MATCH("quantite",'Inventaire M'!#REF!,0))))</f>
        <v/>
      </c>
      <c r="Z507" s="175"/>
      <c r="AA507" s="155" t="str">
        <f>IF(R507="-","",INDEX('Inventaire M-1'!$A$2:$AG$9334,MATCH(R507,'Inventaire M-1'!$A:$A,0)-1,MATCH("poids",'Inventaire M-1'!#REF!,0)))</f>
        <v/>
      </c>
      <c r="AB507" s="155" t="str">
        <f>IF(R507="-","",IF(ISERROR(INDEX('Inventaire M'!$A$2:$AD$9319,MATCH(R507,'Inventaire M'!$A:$A,0)-1,MATCH("poids",'Inventaire M'!#REF!,0))),"Sell",INDEX('Inventaire M'!$A$2:$AD$9319,MATCH(R507,'Inventaire M'!$A:$A,0)-1,MATCH("poids",'Inventaire M'!#REF!,0))))</f>
        <v/>
      </c>
      <c r="AC507" s="175"/>
      <c r="AD507" s="157" t="str">
        <f t="shared" si="57"/>
        <v>0</v>
      </c>
      <c r="AE507" s="98" t="str">
        <f t="shared" si="58"/>
        <v/>
      </c>
      <c r="AF507" s="80" t="str">
        <f t="shared" si="59"/>
        <v>-</v>
      </c>
    </row>
    <row r="508" spans="2:32" outlineLevel="1">
      <c r="B508" s="175" t="str">
        <f>IF(OR('Inventaire M'!D281="Dispo/Liquidité Investie",'Inventaire M'!D281="Option/Future",'Inventaire M'!D281="TCN",'Inventaire M'!D281=""),"-",'Inventaire M'!A281)</f>
        <v>-</v>
      </c>
      <c r="C508" s="175" t="str">
        <f>IF(OR('Inventaire M'!D281="Dispo/Liquidité Investie",'Inventaire M'!D281="Option/Future",'Inventaire M'!D281="TCN",'Inventaire M'!D281=""),"-",'Inventaire M'!B281)</f>
        <v>-</v>
      </c>
      <c r="D508" s="175"/>
      <c r="E508" s="175" t="str">
        <f>IF(B508="-","",INDEX('Inventaire M'!$A$2:$AW$9305,MATCH(B508,'Inventaire M'!$A:$A,0)-1,MATCH("Cours EUR",'Inventaire M'!#REF!,0)))</f>
        <v/>
      </c>
      <c r="F508" s="175" t="str">
        <f>IF(B508="-","",IF(ISERROR(INDEX('Inventaire M-1'!$A$2:$AZ$9320,MATCH(B508,'Inventaire M-1'!$A:$A,0)-1,MATCH("Cours EUR",'Inventaire M-1'!#REF!,0))),"Buy",INDEX('Inventaire M-1'!$A$2:$AZ$9320,MATCH(B508,'Inventaire M-1'!$A:$A,0)-1,MATCH("Cours EUR",'Inventaire M-1'!#REF!,0))))</f>
        <v/>
      </c>
      <c r="G508" s="175"/>
      <c r="H508" s="156" t="str">
        <f>IF(B508="-","",INDEX('Inventaire M'!$A$2:$AW$9305,MATCH(B508,'Inventaire M'!$A:$A,0)-1,MATCH("quantite",'Inventaire M'!#REF!,0)))</f>
        <v/>
      </c>
      <c r="I508" s="156" t="str">
        <f>IF(C508="-","",IF(ISERROR(INDEX('Inventaire M-1'!$A$2:$AZ$9320,MATCH(B508,'Inventaire M-1'!$A:$A,0)-1,MATCH("quantite",'Inventaire M-1'!#REF!,0))),"Buy",INDEX('Inventaire M-1'!$A$2:$AZ$9320,MATCH(B508,'Inventaire M-1'!$A:$A,0)-1,MATCH("quantite",'Inventaire M-1'!#REF!,0))))</f>
        <v/>
      </c>
      <c r="J508" s="175"/>
      <c r="K508" s="155" t="str">
        <f>IF(B508="-","",INDEX('Inventaire M'!$A$2:$AW$9305,MATCH(B508,'Inventaire M'!$A:$A,0)-1,MATCH("poids",'Inventaire M'!#REF!,0)))</f>
        <v/>
      </c>
      <c r="L508" s="155" t="str">
        <f>IF(B508="-","",IF(ISERROR(INDEX('Inventaire M-1'!$A$2:$AZ$9320,MATCH(B508,'Inventaire M-1'!$A:$A,0)-1,MATCH("poids",'Inventaire M-1'!#REF!,0))),"Buy",INDEX('Inventaire M-1'!$A$2:$AZ$9320,MATCH(B508,'Inventaire M-1'!$A:$A,0)-1,MATCH("poids",'Inventaire M-1'!#REF!,0))))</f>
        <v/>
      </c>
      <c r="M508" s="175"/>
      <c r="N508" s="157" t="str">
        <f t="shared" si="55"/>
        <v>0</v>
      </c>
      <c r="O508" s="98" t="str">
        <f t="shared" si="54"/>
        <v/>
      </c>
      <c r="P508" s="80" t="str">
        <f t="shared" si="56"/>
        <v>-</v>
      </c>
      <c r="Q508" s="75">
        <v>4.8400000000000003E-8</v>
      </c>
      <c r="R508" s="175" t="str">
        <f>IF(OR('Inventaire M-1'!D260="Dispo/Liquidité Investie",'Inventaire M-1'!D260="Option/Future",'Inventaire M-1'!D260="TCN",'Inventaire M-1'!D260=""),"-",'Inventaire M-1'!A260)</f>
        <v>-</v>
      </c>
      <c r="S508" s="175" t="str">
        <f>IF(OR('Inventaire M-1'!D260="Dispo/Liquidité Investie",'Inventaire M-1'!D260="Option/Future",'Inventaire M-1'!D260="TCN",'Inventaire M-1'!D260=""),"-",'Inventaire M-1'!B260)</f>
        <v>-</v>
      </c>
      <c r="T508" s="175"/>
      <c r="U508" s="175" t="str">
        <f>IF(R508="-","",INDEX('Inventaire M-1'!$A$2:$AG$9334,MATCH(R508,'Inventaire M-1'!$A:$A,0)-1,MATCH("Cours EUR",'Inventaire M-1'!#REF!,0)))</f>
        <v/>
      </c>
      <c r="V508" s="175" t="str">
        <f>IF(R508="-","",IF(ISERROR(INDEX('Inventaire M'!$A$2:$AD$9319,MATCH(R508,'Inventaire M'!$A:$A,0)-1,MATCH("Cours EUR",'Inventaire M'!#REF!,0))),"Sell",INDEX('Inventaire M'!$A$2:$AD$9319,MATCH(R508,'Inventaire M'!$A:$A,0)-1,MATCH("Cours EUR",'Inventaire M'!#REF!,0))))</f>
        <v/>
      </c>
      <c r="W508" s="175"/>
      <c r="X508" s="156" t="str">
        <f>IF(R508="-","",INDEX('Inventaire M-1'!$A$2:$AG$9334,MATCH(R508,'Inventaire M-1'!$A:$A,0)-1,MATCH("quantite",'Inventaire M-1'!#REF!,0)))</f>
        <v/>
      </c>
      <c r="Y508" s="156" t="str">
        <f>IF(S508="-","",IF(ISERROR(INDEX('Inventaire M'!$A$2:$AD$9319,MATCH(R508,'Inventaire M'!$A:$A,0)-1,MATCH("quantite",'Inventaire M'!#REF!,0))),"Sell",INDEX('Inventaire M'!$A$2:$AD$9319,MATCH(R508,'Inventaire M'!$A:$A,0)-1,MATCH("quantite",'Inventaire M'!#REF!,0))))</f>
        <v/>
      </c>
      <c r="Z508" s="175"/>
      <c r="AA508" s="155" t="str">
        <f>IF(R508="-","",INDEX('Inventaire M-1'!$A$2:$AG$9334,MATCH(R508,'Inventaire M-1'!$A:$A,0)-1,MATCH("poids",'Inventaire M-1'!#REF!,0)))</f>
        <v/>
      </c>
      <c r="AB508" s="155" t="str">
        <f>IF(R508="-","",IF(ISERROR(INDEX('Inventaire M'!$A$2:$AD$9319,MATCH(R508,'Inventaire M'!$A:$A,0)-1,MATCH("poids",'Inventaire M'!#REF!,0))),"Sell",INDEX('Inventaire M'!$A$2:$AD$9319,MATCH(R508,'Inventaire M'!$A:$A,0)-1,MATCH("poids",'Inventaire M'!#REF!,0))))</f>
        <v/>
      </c>
      <c r="AC508" s="175"/>
      <c r="AD508" s="157" t="str">
        <f t="shared" si="57"/>
        <v>0</v>
      </c>
      <c r="AE508" s="98" t="str">
        <f t="shared" si="58"/>
        <v/>
      </c>
      <c r="AF508" s="80" t="str">
        <f t="shared" si="59"/>
        <v>-</v>
      </c>
    </row>
    <row r="509" spans="2:32" outlineLevel="1">
      <c r="B509" s="175" t="str">
        <f>IF(OR('Inventaire M'!D282="Dispo/Liquidité Investie",'Inventaire M'!D282="Option/Future",'Inventaire M'!D282="TCN",'Inventaire M'!D282=""),"-",'Inventaire M'!A282)</f>
        <v>-</v>
      </c>
      <c r="C509" s="175" t="str">
        <f>IF(OR('Inventaire M'!D282="Dispo/Liquidité Investie",'Inventaire M'!D282="Option/Future",'Inventaire M'!D282="TCN",'Inventaire M'!D282=""),"-",'Inventaire M'!B282)</f>
        <v>-</v>
      </c>
      <c r="D509" s="175"/>
      <c r="E509" s="175" t="str">
        <f>IF(B509="-","",INDEX('Inventaire M'!$A$2:$AW$9305,MATCH(B509,'Inventaire M'!$A:$A,0)-1,MATCH("Cours EUR",'Inventaire M'!#REF!,0)))</f>
        <v/>
      </c>
      <c r="F509" s="175" t="str">
        <f>IF(B509="-","",IF(ISERROR(INDEX('Inventaire M-1'!$A$2:$AZ$9320,MATCH(B509,'Inventaire M-1'!$A:$A,0)-1,MATCH("Cours EUR",'Inventaire M-1'!#REF!,0))),"Buy",INDEX('Inventaire M-1'!$A$2:$AZ$9320,MATCH(B509,'Inventaire M-1'!$A:$A,0)-1,MATCH("Cours EUR",'Inventaire M-1'!#REF!,0))))</f>
        <v/>
      </c>
      <c r="G509" s="175"/>
      <c r="H509" s="156" t="str">
        <f>IF(B509="-","",INDEX('Inventaire M'!$A$2:$AW$9305,MATCH(B509,'Inventaire M'!$A:$A,0)-1,MATCH("quantite",'Inventaire M'!#REF!,0)))</f>
        <v/>
      </c>
      <c r="I509" s="156" t="str">
        <f>IF(C509="-","",IF(ISERROR(INDEX('Inventaire M-1'!$A$2:$AZ$9320,MATCH(B509,'Inventaire M-1'!$A:$A,0)-1,MATCH("quantite",'Inventaire M-1'!#REF!,0))),"Buy",INDEX('Inventaire M-1'!$A$2:$AZ$9320,MATCH(B509,'Inventaire M-1'!$A:$A,0)-1,MATCH("quantite",'Inventaire M-1'!#REF!,0))))</f>
        <v/>
      </c>
      <c r="J509" s="175"/>
      <c r="K509" s="155" t="str">
        <f>IF(B509="-","",INDEX('Inventaire M'!$A$2:$AW$9305,MATCH(B509,'Inventaire M'!$A:$A,0)-1,MATCH("poids",'Inventaire M'!#REF!,0)))</f>
        <v/>
      </c>
      <c r="L509" s="155" t="str">
        <f>IF(B509="-","",IF(ISERROR(INDEX('Inventaire M-1'!$A$2:$AZ$9320,MATCH(B509,'Inventaire M-1'!$A:$A,0)-1,MATCH("poids",'Inventaire M-1'!#REF!,0))),"Buy",INDEX('Inventaire M-1'!$A$2:$AZ$9320,MATCH(B509,'Inventaire M-1'!$A:$A,0)-1,MATCH("poids",'Inventaire M-1'!#REF!,0))))</f>
        <v/>
      </c>
      <c r="M509" s="175"/>
      <c r="N509" s="157" t="str">
        <f t="shared" si="55"/>
        <v>0</v>
      </c>
      <c r="O509" s="98" t="str">
        <f t="shared" si="54"/>
        <v/>
      </c>
      <c r="P509" s="80" t="str">
        <f t="shared" si="56"/>
        <v>-</v>
      </c>
      <c r="Q509" s="75">
        <v>4.8499999999999998E-8</v>
      </c>
      <c r="R509" s="175" t="str">
        <f>IF(OR('Inventaire M-1'!D261="Dispo/Liquidité Investie",'Inventaire M-1'!D261="Option/Future",'Inventaire M-1'!D261="TCN",'Inventaire M-1'!D261=""),"-",'Inventaire M-1'!A261)</f>
        <v>-</v>
      </c>
      <c r="S509" s="175" t="str">
        <f>IF(OR('Inventaire M-1'!D261="Dispo/Liquidité Investie",'Inventaire M-1'!D261="Option/Future",'Inventaire M-1'!D261="TCN",'Inventaire M-1'!D261=""),"-",'Inventaire M-1'!B261)</f>
        <v>-</v>
      </c>
      <c r="T509" s="175"/>
      <c r="U509" s="175" t="str">
        <f>IF(R509="-","",INDEX('Inventaire M-1'!$A$2:$AG$9334,MATCH(R509,'Inventaire M-1'!$A:$A,0)-1,MATCH("Cours EUR",'Inventaire M-1'!#REF!,0)))</f>
        <v/>
      </c>
      <c r="V509" s="175" t="str">
        <f>IF(R509="-","",IF(ISERROR(INDEX('Inventaire M'!$A$2:$AD$9319,MATCH(R509,'Inventaire M'!$A:$A,0)-1,MATCH("Cours EUR",'Inventaire M'!#REF!,0))),"Sell",INDEX('Inventaire M'!$A$2:$AD$9319,MATCH(R509,'Inventaire M'!$A:$A,0)-1,MATCH("Cours EUR",'Inventaire M'!#REF!,0))))</f>
        <v/>
      </c>
      <c r="W509" s="175"/>
      <c r="X509" s="156" t="str">
        <f>IF(R509="-","",INDEX('Inventaire M-1'!$A$2:$AG$9334,MATCH(R509,'Inventaire M-1'!$A:$A,0)-1,MATCH("quantite",'Inventaire M-1'!#REF!,0)))</f>
        <v/>
      </c>
      <c r="Y509" s="156" t="str">
        <f>IF(S509="-","",IF(ISERROR(INDEX('Inventaire M'!$A$2:$AD$9319,MATCH(R509,'Inventaire M'!$A:$A,0)-1,MATCH("quantite",'Inventaire M'!#REF!,0))),"Sell",INDEX('Inventaire M'!$A$2:$AD$9319,MATCH(R509,'Inventaire M'!$A:$A,0)-1,MATCH("quantite",'Inventaire M'!#REF!,0))))</f>
        <v/>
      </c>
      <c r="Z509" s="175"/>
      <c r="AA509" s="155" t="str">
        <f>IF(R509="-","",INDEX('Inventaire M-1'!$A$2:$AG$9334,MATCH(R509,'Inventaire M-1'!$A:$A,0)-1,MATCH("poids",'Inventaire M-1'!#REF!,0)))</f>
        <v/>
      </c>
      <c r="AB509" s="155" t="str">
        <f>IF(R509="-","",IF(ISERROR(INDEX('Inventaire M'!$A$2:$AD$9319,MATCH(R509,'Inventaire M'!$A:$A,0)-1,MATCH("poids",'Inventaire M'!#REF!,0))),"Sell",INDEX('Inventaire M'!$A$2:$AD$9319,MATCH(R509,'Inventaire M'!$A:$A,0)-1,MATCH("poids",'Inventaire M'!#REF!,0))))</f>
        <v/>
      </c>
      <c r="AC509" s="175"/>
      <c r="AD509" s="157" t="str">
        <f t="shared" si="57"/>
        <v>0</v>
      </c>
      <c r="AE509" s="98" t="str">
        <f t="shared" si="58"/>
        <v/>
      </c>
      <c r="AF509" s="80" t="str">
        <f t="shared" si="59"/>
        <v>-</v>
      </c>
    </row>
    <row r="510" spans="2:32" outlineLevel="1">
      <c r="B510" s="175" t="str">
        <f>IF(OR('Inventaire M'!D283="Dispo/Liquidité Investie",'Inventaire M'!D283="Option/Future",'Inventaire M'!D283="TCN",'Inventaire M'!D283=""),"-",'Inventaire M'!A283)</f>
        <v>-</v>
      </c>
      <c r="C510" s="175" t="str">
        <f>IF(OR('Inventaire M'!D283="Dispo/Liquidité Investie",'Inventaire M'!D283="Option/Future",'Inventaire M'!D283="TCN",'Inventaire M'!D283=""),"-",'Inventaire M'!B283)</f>
        <v>-</v>
      </c>
      <c r="D510" s="175"/>
      <c r="E510" s="175" t="str">
        <f>IF(B510="-","",INDEX('Inventaire M'!$A$2:$AW$9305,MATCH(B510,'Inventaire M'!$A:$A,0)-1,MATCH("Cours EUR",'Inventaire M'!#REF!,0)))</f>
        <v/>
      </c>
      <c r="F510" s="175" t="str">
        <f>IF(B510="-","",IF(ISERROR(INDEX('Inventaire M-1'!$A$2:$AZ$9320,MATCH(B510,'Inventaire M-1'!$A:$A,0)-1,MATCH("Cours EUR",'Inventaire M-1'!#REF!,0))),"Buy",INDEX('Inventaire M-1'!$A$2:$AZ$9320,MATCH(B510,'Inventaire M-1'!$A:$A,0)-1,MATCH("Cours EUR",'Inventaire M-1'!#REF!,0))))</f>
        <v/>
      </c>
      <c r="G510" s="175"/>
      <c r="H510" s="156" t="str">
        <f>IF(B510="-","",INDEX('Inventaire M'!$A$2:$AW$9305,MATCH(B510,'Inventaire M'!$A:$A,0)-1,MATCH("quantite",'Inventaire M'!#REF!,0)))</f>
        <v/>
      </c>
      <c r="I510" s="156" t="str">
        <f>IF(C510="-","",IF(ISERROR(INDEX('Inventaire M-1'!$A$2:$AZ$9320,MATCH(B510,'Inventaire M-1'!$A:$A,0)-1,MATCH("quantite",'Inventaire M-1'!#REF!,0))),"Buy",INDEX('Inventaire M-1'!$A$2:$AZ$9320,MATCH(B510,'Inventaire M-1'!$A:$A,0)-1,MATCH("quantite",'Inventaire M-1'!#REF!,0))))</f>
        <v/>
      </c>
      <c r="J510" s="175"/>
      <c r="K510" s="155" t="str">
        <f>IF(B510="-","",INDEX('Inventaire M'!$A$2:$AW$9305,MATCH(B510,'Inventaire M'!$A:$A,0)-1,MATCH("poids",'Inventaire M'!#REF!,0)))</f>
        <v/>
      </c>
      <c r="L510" s="155" t="str">
        <f>IF(B510="-","",IF(ISERROR(INDEX('Inventaire M-1'!$A$2:$AZ$9320,MATCH(B510,'Inventaire M-1'!$A:$A,0)-1,MATCH("poids",'Inventaire M-1'!#REF!,0))),"Buy",INDEX('Inventaire M-1'!$A$2:$AZ$9320,MATCH(B510,'Inventaire M-1'!$A:$A,0)-1,MATCH("poids",'Inventaire M-1'!#REF!,0))))</f>
        <v/>
      </c>
      <c r="M510" s="175"/>
      <c r="N510" s="157" t="str">
        <f t="shared" si="55"/>
        <v>0</v>
      </c>
      <c r="O510" s="98" t="str">
        <f t="shared" si="54"/>
        <v/>
      </c>
      <c r="P510" s="80" t="str">
        <f t="shared" si="56"/>
        <v>-</v>
      </c>
      <c r="Q510" s="75">
        <v>4.8599999999999998E-8</v>
      </c>
      <c r="R510" s="175" t="str">
        <f>IF(OR('Inventaire M-1'!D262="Dispo/Liquidité Investie",'Inventaire M-1'!D262="Option/Future",'Inventaire M-1'!D262="TCN",'Inventaire M-1'!D262=""),"-",'Inventaire M-1'!A262)</f>
        <v>-</v>
      </c>
      <c r="S510" s="175" t="str">
        <f>IF(OR('Inventaire M-1'!D262="Dispo/Liquidité Investie",'Inventaire M-1'!D262="Option/Future",'Inventaire M-1'!D262="TCN",'Inventaire M-1'!D262=""),"-",'Inventaire M-1'!B262)</f>
        <v>-</v>
      </c>
      <c r="T510" s="175"/>
      <c r="U510" s="175" t="str">
        <f>IF(R510="-","",INDEX('Inventaire M-1'!$A$2:$AG$9334,MATCH(R510,'Inventaire M-1'!$A:$A,0)-1,MATCH("Cours EUR",'Inventaire M-1'!#REF!,0)))</f>
        <v/>
      </c>
      <c r="V510" s="175" t="str">
        <f>IF(R510="-","",IF(ISERROR(INDEX('Inventaire M'!$A$2:$AD$9319,MATCH(R510,'Inventaire M'!$A:$A,0)-1,MATCH("Cours EUR",'Inventaire M'!#REF!,0))),"Sell",INDEX('Inventaire M'!$A$2:$AD$9319,MATCH(R510,'Inventaire M'!$A:$A,0)-1,MATCH("Cours EUR",'Inventaire M'!#REF!,0))))</f>
        <v/>
      </c>
      <c r="W510" s="175"/>
      <c r="X510" s="156" t="str">
        <f>IF(R510="-","",INDEX('Inventaire M-1'!$A$2:$AG$9334,MATCH(R510,'Inventaire M-1'!$A:$A,0)-1,MATCH("quantite",'Inventaire M-1'!#REF!,0)))</f>
        <v/>
      </c>
      <c r="Y510" s="156" t="str">
        <f>IF(S510="-","",IF(ISERROR(INDEX('Inventaire M'!$A$2:$AD$9319,MATCH(R510,'Inventaire M'!$A:$A,0)-1,MATCH("quantite",'Inventaire M'!#REF!,0))),"Sell",INDEX('Inventaire M'!$A$2:$AD$9319,MATCH(R510,'Inventaire M'!$A:$A,0)-1,MATCH("quantite",'Inventaire M'!#REF!,0))))</f>
        <v/>
      </c>
      <c r="Z510" s="175"/>
      <c r="AA510" s="155" t="str">
        <f>IF(R510="-","",INDEX('Inventaire M-1'!$A$2:$AG$9334,MATCH(R510,'Inventaire M-1'!$A:$A,0)-1,MATCH("poids",'Inventaire M-1'!#REF!,0)))</f>
        <v/>
      </c>
      <c r="AB510" s="155" t="str">
        <f>IF(R510="-","",IF(ISERROR(INDEX('Inventaire M'!$A$2:$AD$9319,MATCH(R510,'Inventaire M'!$A:$A,0)-1,MATCH("poids",'Inventaire M'!#REF!,0))),"Sell",INDEX('Inventaire M'!$A$2:$AD$9319,MATCH(R510,'Inventaire M'!$A:$A,0)-1,MATCH("poids",'Inventaire M'!#REF!,0))))</f>
        <v/>
      </c>
      <c r="AC510" s="175"/>
      <c r="AD510" s="157" t="str">
        <f t="shared" si="57"/>
        <v>0</v>
      </c>
      <c r="AE510" s="98" t="str">
        <f t="shared" si="58"/>
        <v/>
      </c>
      <c r="AF510" s="80" t="str">
        <f t="shared" si="59"/>
        <v>-</v>
      </c>
    </row>
    <row r="511" spans="2:32" outlineLevel="1">
      <c r="B511" s="175" t="str">
        <f>IF(OR('Inventaire M'!D284="Dispo/Liquidité Investie",'Inventaire M'!D284="Option/Future",'Inventaire M'!D284="TCN",'Inventaire M'!D284=""),"-",'Inventaire M'!A284)</f>
        <v>-</v>
      </c>
      <c r="C511" s="175" t="str">
        <f>IF(OR('Inventaire M'!D284="Dispo/Liquidité Investie",'Inventaire M'!D284="Option/Future",'Inventaire M'!D284="TCN",'Inventaire M'!D284=""),"-",'Inventaire M'!B284)</f>
        <v>-</v>
      </c>
      <c r="D511" s="175"/>
      <c r="E511" s="175" t="str">
        <f>IF(B511="-","",INDEX('Inventaire M'!$A$2:$AW$9305,MATCH(B511,'Inventaire M'!$A:$A,0)-1,MATCH("Cours EUR",'Inventaire M'!#REF!,0)))</f>
        <v/>
      </c>
      <c r="F511" s="175" t="str">
        <f>IF(B511="-","",IF(ISERROR(INDEX('Inventaire M-1'!$A$2:$AZ$9320,MATCH(B511,'Inventaire M-1'!$A:$A,0)-1,MATCH("Cours EUR",'Inventaire M-1'!#REF!,0))),"Buy",INDEX('Inventaire M-1'!$A$2:$AZ$9320,MATCH(B511,'Inventaire M-1'!$A:$A,0)-1,MATCH("Cours EUR",'Inventaire M-1'!#REF!,0))))</f>
        <v/>
      </c>
      <c r="G511" s="175"/>
      <c r="H511" s="156" t="str">
        <f>IF(B511="-","",INDEX('Inventaire M'!$A$2:$AW$9305,MATCH(B511,'Inventaire M'!$A:$A,0)-1,MATCH("quantite",'Inventaire M'!#REF!,0)))</f>
        <v/>
      </c>
      <c r="I511" s="156" t="str">
        <f>IF(C511="-","",IF(ISERROR(INDEX('Inventaire M-1'!$A$2:$AZ$9320,MATCH(B511,'Inventaire M-1'!$A:$A,0)-1,MATCH("quantite",'Inventaire M-1'!#REF!,0))),"Buy",INDEX('Inventaire M-1'!$A$2:$AZ$9320,MATCH(B511,'Inventaire M-1'!$A:$A,0)-1,MATCH("quantite",'Inventaire M-1'!#REF!,0))))</f>
        <v/>
      </c>
      <c r="J511" s="175"/>
      <c r="K511" s="155" t="str">
        <f>IF(B511="-","",INDEX('Inventaire M'!$A$2:$AW$9305,MATCH(B511,'Inventaire M'!$A:$A,0)-1,MATCH("poids",'Inventaire M'!#REF!,0)))</f>
        <v/>
      </c>
      <c r="L511" s="155" t="str">
        <f>IF(B511="-","",IF(ISERROR(INDEX('Inventaire M-1'!$A$2:$AZ$9320,MATCH(B511,'Inventaire M-1'!$A:$A,0)-1,MATCH("poids",'Inventaire M-1'!#REF!,0))),"Buy",INDEX('Inventaire M-1'!$A$2:$AZ$9320,MATCH(B511,'Inventaire M-1'!$A:$A,0)-1,MATCH("poids",'Inventaire M-1'!#REF!,0))))</f>
        <v/>
      </c>
      <c r="M511" s="175"/>
      <c r="N511" s="157" t="str">
        <f t="shared" si="55"/>
        <v>0</v>
      </c>
      <c r="O511" s="98" t="str">
        <f t="shared" si="54"/>
        <v/>
      </c>
      <c r="P511" s="80" t="str">
        <f t="shared" si="56"/>
        <v>-</v>
      </c>
      <c r="Q511" s="75">
        <v>4.8699999999999999E-8</v>
      </c>
      <c r="R511" s="175" t="str">
        <f>IF(OR('Inventaire M-1'!D263="Dispo/Liquidité Investie",'Inventaire M-1'!D263="Option/Future",'Inventaire M-1'!D263="TCN",'Inventaire M-1'!D263=""),"-",'Inventaire M-1'!A263)</f>
        <v>-</v>
      </c>
      <c r="S511" s="175" t="str">
        <f>IF(OR('Inventaire M-1'!D263="Dispo/Liquidité Investie",'Inventaire M-1'!D263="Option/Future",'Inventaire M-1'!D263="TCN",'Inventaire M-1'!D263=""),"-",'Inventaire M-1'!B263)</f>
        <v>-</v>
      </c>
      <c r="T511" s="175"/>
      <c r="U511" s="175" t="str">
        <f>IF(R511="-","",INDEX('Inventaire M-1'!$A$2:$AG$9334,MATCH(R511,'Inventaire M-1'!$A:$A,0)-1,MATCH("Cours EUR",'Inventaire M-1'!#REF!,0)))</f>
        <v/>
      </c>
      <c r="V511" s="175" t="str">
        <f>IF(R511="-","",IF(ISERROR(INDEX('Inventaire M'!$A$2:$AD$9319,MATCH(R511,'Inventaire M'!$A:$A,0)-1,MATCH("Cours EUR",'Inventaire M'!#REF!,0))),"Sell",INDEX('Inventaire M'!$A$2:$AD$9319,MATCH(R511,'Inventaire M'!$A:$A,0)-1,MATCH("Cours EUR",'Inventaire M'!#REF!,0))))</f>
        <v/>
      </c>
      <c r="W511" s="175"/>
      <c r="X511" s="156" t="str">
        <f>IF(R511="-","",INDEX('Inventaire M-1'!$A$2:$AG$9334,MATCH(R511,'Inventaire M-1'!$A:$A,0)-1,MATCH("quantite",'Inventaire M-1'!#REF!,0)))</f>
        <v/>
      </c>
      <c r="Y511" s="156" t="str">
        <f>IF(S511="-","",IF(ISERROR(INDEX('Inventaire M'!$A$2:$AD$9319,MATCH(R511,'Inventaire M'!$A:$A,0)-1,MATCH("quantite",'Inventaire M'!#REF!,0))),"Sell",INDEX('Inventaire M'!$A$2:$AD$9319,MATCH(R511,'Inventaire M'!$A:$A,0)-1,MATCH("quantite",'Inventaire M'!#REF!,0))))</f>
        <v/>
      </c>
      <c r="Z511" s="175"/>
      <c r="AA511" s="155" t="str">
        <f>IF(R511="-","",INDEX('Inventaire M-1'!$A$2:$AG$9334,MATCH(R511,'Inventaire M-1'!$A:$A,0)-1,MATCH("poids",'Inventaire M-1'!#REF!,0)))</f>
        <v/>
      </c>
      <c r="AB511" s="155" t="str">
        <f>IF(R511="-","",IF(ISERROR(INDEX('Inventaire M'!$A$2:$AD$9319,MATCH(R511,'Inventaire M'!$A:$A,0)-1,MATCH("poids",'Inventaire M'!#REF!,0))),"Sell",INDEX('Inventaire M'!$A$2:$AD$9319,MATCH(R511,'Inventaire M'!$A:$A,0)-1,MATCH("poids",'Inventaire M'!#REF!,0))))</f>
        <v/>
      </c>
      <c r="AC511" s="175"/>
      <c r="AD511" s="157" t="str">
        <f t="shared" si="57"/>
        <v>0</v>
      </c>
      <c r="AE511" s="98" t="str">
        <f t="shared" si="58"/>
        <v/>
      </c>
      <c r="AF511" s="80" t="str">
        <f t="shared" si="59"/>
        <v>-</v>
      </c>
    </row>
    <row r="512" spans="2:32" outlineLevel="1">
      <c r="B512" s="175" t="str">
        <f>IF(OR('Inventaire M'!D285="Dispo/Liquidité Investie",'Inventaire M'!D285="Option/Future",'Inventaire M'!D285="TCN",'Inventaire M'!D285=""),"-",'Inventaire M'!A285)</f>
        <v>-</v>
      </c>
      <c r="C512" s="175" t="str">
        <f>IF(OR('Inventaire M'!D285="Dispo/Liquidité Investie",'Inventaire M'!D285="Option/Future",'Inventaire M'!D285="TCN",'Inventaire M'!D285=""),"-",'Inventaire M'!B285)</f>
        <v>-</v>
      </c>
      <c r="D512" s="175"/>
      <c r="E512" s="175" t="str">
        <f>IF(B512="-","",INDEX('Inventaire M'!$A$2:$AW$9305,MATCH(B512,'Inventaire M'!$A:$A,0)-1,MATCH("Cours EUR",'Inventaire M'!#REF!,0)))</f>
        <v/>
      </c>
      <c r="F512" s="175" t="str">
        <f>IF(B512="-","",IF(ISERROR(INDEX('Inventaire M-1'!$A$2:$AZ$9320,MATCH(B512,'Inventaire M-1'!$A:$A,0)-1,MATCH("Cours EUR",'Inventaire M-1'!#REF!,0))),"Buy",INDEX('Inventaire M-1'!$A$2:$AZ$9320,MATCH(B512,'Inventaire M-1'!$A:$A,0)-1,MATCH("Cours EUR",'Inventaire M-1'!#REF!,0))))</f>
        <v/>
      </c>
      <c r="G512" s="175"/>
      <c r="H512" s="156" t="str">
        <f>IF(B512="-","",INDEX('Inventaire M'!$A$2:$AW$9305,MATCH(B512,'Inventaire M'!$A:$A,0)-1,MATCH("quantite",'Inventaire M'!#REF!,0)))</f>
        <v/>
      </c>
      <c r="I512" s="156" t="str">
        <f>IF(C512="-","",IF(ISERROR(INDEX('Inventaire M-1'!$A$2:$AZ$9320,MATCH(B512,'Inventaire M-1'!$A:$A,0)-1,MATCH("quantite",'Inventaire M-1'!#REF!,0))),"Buy",INDEX('Inventaire M-1'!$A$2:$AZ$9320,MATCH(B512,'Inventaire M-1'!$A:$A,0)-1,MATCH("quantite",'Inventaire M-1'!#REF!,0))))</f>
        <v/>
      </c>
      <c r="J512" s="175"/>
      <c r="K512" s="155" t="str">
        <f>IF(B512="-","",INDEX('Inventaire M'!$A$2:$AW$9305,MATCH(B512,'Inventaire M'!$A:$A,0)-1,MATCH("poids",'Inventaire M'!#REF!,0)))</f>
        <v/>
      </c>
      <c r="L512" s="155" t="str">
        <f>IF(B512="-","",IF(ISERROR(INDEX('Inventaire M-1'!$A$2:$AZ$9320,MATCH(B512,'Inventaire M-1'!$A:$A,0)-1,MATCH("poids",'Inventaire M-1'!#REF!,0))),"Buy",INDEX('Inventaire M-1'!$A$2:$AZ$9320,MATCH(B512,'Inventaire M-1'!$A:$A,0)-1,MATCH("poids",'Inventaire M-1'!#REF!,0))))</f>
        <v/>
      </c>
      <c r="M512" s="175"/>
      <c r="N512" s="157" t="str">
        <f t="shared" si="55"/>
        <v>0</v>
      </c>
      <c r="O512" s="98" t="str">
        <f t="shared" si="54"/>
        <v/>
      </c>
      <c r="P512" s="80" t="str">
        <f t="shared" si="56"/>
        <v>-</v>
      </c>
      <c r="Q512" s="75">
        <v>4.88E-8</v>
      </c>
      <c r="R512" s="175" t="str">
        <f>IF(OR('Inventaire M-1'!D264="Dispo/Liquidité Investie",'Inventaire M-1'!D264="Option/Future",'Inventaire M-1'!D264="TCN",'Inventaire M-1'!D264=""),"-",'Inventaire M-1'!A264)</f>
        <v>-</v>
      </c>
      <c r="S512" s="175" t="str">
        <f>IF(OR('Inventaire M-1'!D264="Dispo/Liquidité Investie",'Inventaire M-1'!D264="Option/Future",'Inventaire M-1'!D264="TCN",'Inventaire M-1'!D264=""),"-",'Inventaire M-1'!B264)</f>
        <v>-</v>
      </c>
      <c r="T512" s="175"/>
      <c r="U512" s="175" t="str">
        <f>IF(R512="-","",INDEX('Inventaire M-1'!$A$2:$AG$9334,MATCH(R512,'Inventaire M-1'!$A:$A,0)-1,MATCH("Cours EUR",'Inventaire M-1'!#REF!,0)))</f>
        <v/>
      </c>
      <c r="V512" s="175" t="str">
        <f>IF(R512="-","",IF(ISERROR(INDEX('Inventaire M'!$A$2:$AD$9319,MATCH(R512,'Inventaire M'!$A:$A,0)-1,MATCH("Cours EUR",'Inventaire M'!#REF!,0))),"Sell",INDEX('Inventaire M'!$A$2:$AD$9319,MATCH(R512,'Inventaire M'!$A:$A,0)-1,MATCH("Cours EUR",'Inventaire M'!#REF!,0))))</f>
        <v/>
      </c>
      <c r="W512" s="175"/>
      <c r="X512" s="156" t="str">
        <f>IF(R512="-","",INDEX('Inventaire M-1'!$A$2:$AG$9334,MATCH(R512,'Inventaire M-1'!$A:$A,0)-1,MATCH("quantite",'Inventaire M-1'!#REF!,0)))</f>
        <v/>
      </c>
      <c r="Y512" s="156" t="str">
        <f>IF(S512="-","",IF(ISERROR(INDEX('Inventaire M'!$A$2:$AD$9319,MATCH(R512,'Inventaire M'!$A:$A,0)-1,MATCH("quantite",'Inventaire M'!#REF!,0))),"Sell",INDEX('Inventaire M'!$A$2:$AD$9319,MATCH(R512,'Inventaire M'!$A:$A,0)-1,MATCH("quantite",'Inventaire M'!#REF!,0))))</f>
        <v/>
      </c>
      <c r="Z512" s="175"/>
      <c r="AA512" s="155" t="str">
        <f>IF(R512="-","",INDEX('Inventaire M-1'!$A$2:$AG$9334,MATCH(R512,'Inventaire M-1'!$A:$A,0)-1,MATCH("poids",'Inventaire M-1'!#REF!,0)))</f>
        <v/>
      </c>
      <c r="AB512" s="155" t="str">
        <f>IF(R512="-","",IF(ISERROR(INDEX('Inventaire M'!$A$2:$AD$9319,MATCH(R512,'Inventaire M'!$A:$A,0)-1,MATCH("poids",'Inventaire M'!#REF!,0))),"Sell",INDEX('Inventaire M'!$A$2:$AD$9319,MATCH(R512,'Inventaire M'!$A:$A,0)-1,MATCH("poids",'Inventaire M'!#REF!,0))))</f>
        <v/>
      </c>
      <c r="AC512" s="175"/>
      <c r="AD512" s="157" t="str">
        <f t="shared" si="57"/>
        <v>0</v>
      </c>
      <c r="AE512" s="98" t="str">
        <f t="shared" si="58"/>
        <v/>
      </c>
      <c r="AF512" s="80" t="str">
        <f t="shared" si="59"/>
        <v>-</v>
      </c>
    </row>
    <row r="513" spans="2:32" outlineLevel="1">
      <c r="B513" s="175" t="str">
        <f>IF(OR('Inventaire M'!D286="Dispo/Liquidité Investie",'Inventaire M'!D286="Option/Future",'Inventaire M'!D286="TCN",'Inventaire M'!D286=""),"-",'Inventaire M'!A286)</f>
        <v>-</v>
      </c>
      <c r="C513" s="175" t="str">
        <f>IF(OR('Inventaire M'!D286="Dispo/Liquidité Investie",'Inventaire M'!D286="Option/Future",'Inventaire M'!D286="TCN",'Inventaire M'!D286=""),"-",'Inventaire M'!B286)</f>
        <v>-</v>
      </c>
      <c r="D513" s="175"/>
      <c r="E513" s="175" t="str">
        <f>IF(B513="-","",INDEX('Inventaire M'!$A$2:$AW$9305,MATCH(B513,'Inventaire M'!$A:$A,0)-1,MATCH("Cours EUR",'Inventaire M'!#REF!,0)))</f>
        <v/>
      </c>
      <c r="F513" s="175" t="str">
        <f>IF(B513="-","",IF(ISERROR(INDEX('Inventaire M-1'!$A$2:$AZ$9320,MATCH(B513,'Inventaire M-1'!$A:$A,0)-1,MATCH("Cours EUR",'Inventaire M-1'!#REF!,0))),"Buy",INDEX('Inventaire M-1'!$A$2:$AZ$9320,MATCH(B513,'Inventaire M-1'!$A:$A,0)-1,MATCH("Cours EUR",'Inventaire M-1'!#REF!,0))))</f>
        <v/>
      </c>
      <c r="G513" s="175"/>
      <c r="H513" s="156" t="str">
        <f>IF(B513="-","",INDEX('Inventaire M'!$A$2:$AW$9305,MATCH(B513,'Inventaire M'!$A:$A,0)-1,MATCH("quantite",'Inventaire M'!#REF!,0)))</f>
        <v/>
      </c>
      <c r="I513" s="156" t="str">
        <f>IF(C513="-","",IF(ISERROR(INDEX('Inventaire M-1'!$A$2:$AZ$9320,MATCH(B513,'Inventaire M-1'!$A:$A,0)-1,MATCH("quantite",'Inventaire M-1'!#REF!,0))),"Buy",INDEX('Inventaire M-1'!$A$2:$AZ$9320,MATCH(B513,'Inventaire M-1'!$A:$A,0)-1,MATCH("quantite",'Inventaire M-1'!#REF!,0))))</f>
        <v/>
      </c>
      <c r="J513" s="175"/>
      <c r="K513" s="155" t="str">
        <f>IF(B513="-","",INDEX('Inventaire M'!$A$2:$AW$9305,MATCH(B513,'Inventaire M'!$A:$A,0)-1,MATCH("poids",'Inventaire M'!#REF!,0)))</f>
        <v/>
      </c>
      <c r="L513" s="155" t="str">
        <f>IF(B513="-","",IF(ISERROR(INDEX('Inventaire M-1'!$A$2:$AZ$9320,MATCH(B513,'Inventaire M-1'!$A:$A,0)-1,MATCH("poids",'Inventaire M-1'!#REF!,0))),"Buy",INDEX('Inventaire M-1'!$A$2:$AZ$9320,MATCH(B513,'Inventaire M-1'!$A:$A,0)-1,MATCH("poids",'Inventaire M-1'!#REF!,0))))</f>
        <v/>
      </c>
      <c r="M513" s="175"/>
      <c r="N513" s="157" t="str">
        <f t="shared" si="55"/>
        <v>0</v>
      </c>
      <c r="O513" s="98" t="str">
        <f t="shared" si="54"/>
        <v/>
      </c>
      <c r="P513" s="80" t="str">
        <f t="shared" si="56"/>
        <v>-</v>
      </c>
      <c r="Q513" s="75">
        <v>4.8900000000000001E-8</v>
      </c>
      <c r="R513" s="175" t="str">
        <f>IF(OR('Inventaire M-1'!D265="Dispo/Liquidité Investie",'Inventaire M-1'!D265="Option/Future",'Inventaire M-1'!D265="TCN",'Inventaire M-1'!D265=""),"-",'Inventaire M-1'!A265)</f>
        <v>-</v>
      </c>
      <c r="S513" s="175" t="str">
        <f>IF(OR('Inventaire M-1'!D265="Dispo/Liquidité Investie",'Inventaire M-1'!D265="Option/Future",'Inventaire M-1'!D265="TCN",'Inventaire M-1'!D265=""),"-",'Inventaire M-1'!B265)</f>
        <v>-</v>
      </c>
      <c r="T513" s="175"/>
      <c r="U513" s="175" t="str">
        <f>IF(R513="-","",INDEX('Inventaire M-1'!$A$2:$AG$9334,MATCH(R513,'Inventaire M-1'!$A:$A,0)-1,MATCH("Cours EUR",'Inventaire M-1'!#REF!,0)))</f>
        <v/>
      </c>
      <c r="V513" s="175" t="str">
        <f>IF(R513="-","",IF(ISERROR(INDEX('Inventaire M'!$A$2:$AD$9319,MATCH(R513,'Inventaire M'!$A:$A,0)-1,MATCH("Cours EUR",'Inventaire M'!#REF!,0))),"Sell",INDEX('Inventaire M'!$A$2:$AD$9319,MATCH(R513,'Inventaire M'!$A:$A,0)-1,MATCH("Cours EUR",'Inventaire M'!#REF!,0))))</f>
        <v/>
      </c>
      <c r="W513" s="175"/>
      <c r="X513" s="156" t="str">
        <f>IF(R513="-","",INDEX('Inventaire M-1'!$A$2:$AG$9334,MATCH(R513,'Inventaire M-1'!$A:$A,0)-1,MATCH("quantite",'Inventaire M-1'!#REF!,0)))</f>
        <v/>
      </c>
      <c r="Y513" s="156" t="str">
        <f>IF(S513="-","",IF(ISERROR(INDEX('Inventaire M'!$A$2:$AD$9319,MATCH(R513,'Inventaire M'!$A:$A,0)-1,MATCH("quantite",'Inventaire M'!#REF!,0))),"Sell",INDEX('Inventaire M'!$A$2:$AD$9319,MATCH(R513,'Inventaire M'!$A:$A,0)-1,MATCH("quantite",'Inventaire M'!#REF!,0))))</f>
        <v/>
      </c>
      <c r="Z513" s="175"/>
      <c r="AA513" s="155" t="str">
        <f>IF(R513="-","",INDEX('Inventaire M-1'!$A$2:$AG$9334,MATCH(R513,'Inventaire M-1'!$A:$A,0)-1,MATCH("poids",'Inventaire M-1'!#REF!,0)))</f>
        <v/>
      </c>
      <c r="AB513" s="155" t="str">
        <f>IF(R513="-","",IF(ISERROR(INDEX('Inventaire M'!$A$2:$AD$9319,MATCH(R513,'Inventaire M'!$A:$A,0)-1,MATCH("poids",'Inventaire M'!#REF!,0))),"Sell",INDEX('Inventaire M'!$A$2:$AD$9319,MATCH(R513,'Inventaire M'!$A:$A,0)-1,MATCH("poids",'Inventaire M'!#REF!,0))))</f>
        <v/>
      </c>
      <c r="AC513" s="175"/>
      <c r="AD513" s="157" t="str">
        <f t="shared" si="57"/>
        <v>0</v>
      </c>
      <c r="AE513" s="98" t="str">
        <f t="shared" si="58"/>
        <v/>
      </c>
      <c r="AF513" s="80" t="str">
        <f t="shared" si="59"/>
        <v>-</v>
      </c>
    </row>
    <row r="514" spans="2:32" outlineLevel="1">
      <c r="B514" s="175" t="str">
        <f>IF(OR('Inventaire M'!D287="Dispo/Liquidité Investie",'Inventaire M'!D287="Option/Future",'Inventaire M'!D287="TCN",'Inventaire M'!D287=""),"-",'Inventaire M'!A287)</f>
        <v>-</v>
      </c>
      <c r="C514" s="175" t="str">
        <f>IF(OR('Inventaire M'!D287="Dispo/Liquidité Investie",'Inventaire M'!D287="Option/Future",'Inventaire M'!D287="TCN",'Inventaire M'!D287=""),"-",'Inventaire M'!B287)</f>
        <v>-</v>
      </c>
      <c r="D514" s="175"/>
      <c r="E514" s="175" t="str">
        <f>IF(B514="-","",INDEX('Inventaire M'!$A$2:$AW$9305,MATCH(B514,'Inventaire M'!$A:$A,0)-1,MATCH("Cours EUR",'Inventaire M'!#REF!,0)))</f>
        <v/>
      </c>
      <c r="F514" s="175" t="str">
        <f>IF(B514="-","",IF(ISERROR(INDEX('Inventaire M-1'!$A$2:$AZ$9320,MATCH(B514,'Inventaire M-1'!$A:$A,0)-1,MATCH("Cours EUR",'Inventaire M-1'!#REF!,0))),"Buy",INDEX('Inventaire M-1'!$A$2:$AZ$9320,MATCH(B514,'Inventaire M-1'!$A:$A,0)-1,MATCH("Cours EUR",'Inventaire M-1'!#REF!,0))))</f>
        <v/>
      </c>
      <c r="G514" s="175"/>
      <c r="H514" s="156" t="str">
        <f>IF(B514="-","",INDEX('Inventaire M'!$A$2:$AW$9305,MATCH(B514,'Inventaire M'!$A:$A,0)-1,MATCH("quantite",'Inventaire M'!#REF!,0)))</f>
        <v/>
      </c>
      <c r="I514" s="156" t="str">
        <f>IF(C514="-","",IF(ISERROR(INDEX('Inventaire M-1'!$A$2:$AZ$9320,MATCH(B514,'Inventaire M-1'!$A:$A,0)-1,MATCH("quantite",'Inventaire M-1'!#REF!,0))),"Buy",INDEX('Inventaire M-1'!$A$2:$AZ$9320,MATCH(B514,'Inventaire M-1'!$A:$A,0)-1,MATCH("quantite",'Inventaire M-1'!#REF!,0))))</f>
        <v/>
      </c>
      <c r="J514" s="175"/>
      <c r="K514" s="155" t="str">
        <f>IF(B514="-","",INDEX('Inventaire M'!$A$2:$AW$9305,MATCH(B514,'Inventaire M'!$A:$A,0)-1,MATCH("poids",'Inventaire M'!#REF!,0)))</f>
        <v/>
      </c>
      <c r="L514" s="155" t="str">
        <f>IF(B514="-","",IF(ISERROR(INDEX('Inventaire M-1'!$A$2:$AZ$9320,MATCH(B514,'Inventaire M-1'!$A:$A,0)-1,MATCH("poids",'Inventaire M-1'!#REF!,0))),"Buy",INDEX('Inventaire M-1'!$A$2:$AZ$9320,MATCH(B514,'Inventaire M-1'!$A:$A,0)-1,MATCH("poids",'Inventaire M-1'!#REF!,0))))</f>
        <v/>
      </c>
      <c r="M514" s="175"/>
      <c r="N514" s="157" t="str">
        <f t="shared" si="55"/>
        <v>0</v>
      </c>
      <c r="O514" s="98" t="str">
        <f t="shared" si="54"/>
        <v/>
      </c>
      <c r="P514" s="80" t="str">
        <f t="shared" si="56"/>
        <v>-</v>
      </c>
      <c r="Q514" s="75">
        <v>4.9000000000000002E-8</v>
      </c>
      <c r="R514" s="175" t="str">
        <f>IF(OR('Inventaire M-1'!D266="Dispo/Liquidité Investie",'Inventaire M-1'!D266="Option/Future",'Inventaire M-1'!D266="TCN",'Inventaire M-1'!D266=""),"-",'Inventaire M-1'!A266)</f>
        <v>-</v>
      </c>
      <c r="S514" s="175" t="str">
        <f>IF(OR('Inventaire M-1'!D266="Dispo/Liquidité Investie",'Inventaire M-1'!D266="Option/Future",'Inventaire M-1'!D266="TCN",'Inventaire M-1'!D266=""),"-",'Inventaire M-1'!B266)</f>
        <v>-</v>
      </c>
      <c r="T514" s="175"/>
      <c r="U514" s="175" t="str">
        <f>IF(R514="-","",INDEX('Inventaire M-1'!$A$2:$AG$9334,MATCH(R514,'Inventaire M-1'!$A:$A,0)-1,MATCH("Cours EUR",'Inventaire M-1'!#REF!,0)))</f>
        <v/>
      </c>
      <c r="V514" s="175" t="str">
        <f>IF(R514="-","",IF(ISERROR(INDEX('Inventaire M'!$A$2:$AD$9319,MATCH(R514,'Inventaire M'!$A:$A,0)-1,MATCH("Cours EUR",'Inventaire M'!#REF!,0))),"Sell",INDEX('Inventaire M'!$A$2:$AD$9319,MATCH(R514,'Inventaire M'!$A:$A,0)-1,MATCH("Cours EUR",'Inventaire M'!#REF!,0))))</f>
        <v/>
      </c>
      <c r="W514" s="175"/>
      <c r="X514" s="156" t="str">
        <f>IF(R514="-","",INDEX('Inventaire M-1'!$A$2:$AG$9334,MATCH(R514,'Inventaire M-1'!$A:$A,0)-1,MATCH("quantite",'Inventaire M-1'!#REF!,0)))</f>
        <v/>
      </c>
      <c r="Y514" s="156" t="str">
        <f>IF(S514="-","",IF(ISERROR(INDEX('Inventaire M'!$A$2:$AD$9319,MATCH(R514,'Inventaire M'!$A:$A,0)-1,MATCH("quantite",'Inventaire M'!#REF!,0))),"Sell",INDEX('Inventaire M'!$A$2:$AD$9319,MATCH(R514,'Inventaire M'!$A:$A,0)-1,MATCH("quantite",'Inventaire M'!#REF!,0))))</f>
        <v/>
      </c>
      <c r="Z514" s="175"/>
      <c r="AA514" s="155" t="str">
        <f>IF(R514="-","",INDEX('Inventaire M-1'!$A$2:$AG$9334,MATCH(R514,'Inventaire M-1'!$A:$A,0)-1,MATCH("poids",'Inventaire M-1'!#REF!,0)))</f>
        <v/>
      </c>
      <c r="AB514" s="155" t="str">
        <f>IF(R514="-","",IF(ISERROR(INDEX('Inventaire M'!$A$2:$AD$9319,MATCH(R514,'Inventaire M'!$A:$A,0)-1,MATCH("poids",'Inventaire M'!#REF!,0))),"Sell",INDEX('Inventaire M'!$A$2:$AD$9319,MATCH(R514,'Inventaire M'!$A:$A,0)-1,MATCH("poids",'Inventaire M'!#REF!,0))))</f>
        <v/>
      </c>
      <c r="AC514" s="175"/>
      <c r="AD514" s="157" t="str">
        <f t="shared" si="57"/>
        <v>0</v>
      </c>
      <c r="AE514" s="98" t="str">
        <f t="shared" si="58"/>
        <v/>
      </c>
      <c r="AF514" s="80" t="str">
        <f t="shared" si="59"/>
        <v>-</v>
      </c>
    </row>
    <row r="515" spans="2:32" outlineLevel="1">
      <c r="B515" s="175" t="str">
        <f>IF(OR('Inventaire M'!D288="Dispo/Liquidité Investie",'Inventaire M'!D288="Option/Future",'Inventaire M'!D288="TCN",'Inventaire M'!D288=""),"-",'Inventaire M'!A288)</f>
        <v>-</v>
      </c>
      <c r="C515" s="175" t="str">
        <f>IF(OR('Inventaire M'!D288="Dispo/Liquidité Investie",'Inventaire M'!D288="Option/Future",'Inventaire M'!D288="TCN",'Inventaire M'!D288=""),"-",'Inventaire M'!B288)</f>
        <v>-</v>
      </c>
      <c r="D515" s="175"/>
      <c r="E515" s="175" t="str">
        <f>IF(B515="-","",INDEX('Inventaire M'!$A$2:$AW$9305,MATCH(B515,'Inventaire M'!$A:$A,0)-1,MATCH("Cours EUR",'Inventaire M'!#REF!,0)))</f>
        <v/>
      </c>
      <c r="F515" s="175" t="str">
        <f>IF(B515="-","",IF(ISERROR(INDEX('Inventaire M-1'!$A$2:$AZ$9320,MATCH(B515,'Inventaire M-1'!$A:$A,0)-1,MATCH("Cours EUR",'Inventaire M-1'!#REF!,0))),"Buy",INDEX('Inventaire M-1'!$A$2:$AZ$9320,MATCH(B515,'Inventaire M-1'!$A:$A,0)-1,MATCH("Cours EUR",'Inventaire M-1'!#REF!,0))))</f>
        <v/>
      </c>
      <c r="G515" s="175"/>
      <c r="H515" s="156" t="str">
        <f>IF(B515="-","",INDEX('Inventaire M'!$A$2:$AW$9305,MATCH(B515,'Inventaire M'!$A:$A,0)-1,MATCH("quantite",'Inventaire M'!#REF!,0)))</f>
        <v/>
      </c>
      <c r="I515" s="156" t="str">
        <f>IF(C515="-","",IF(ISERROR(INDEX('Inventaire M-1'!$A$2:$AZ$9320,MATCH(B515,'Inventaire M-1'!$A:$A,0)-1,MATCH("quantite",'Inventaire M-1'!#REF!,0))),"Buy",INDEX('Inventaire M-1'!$A$2:$AZ$9320,MATCH(B515,'Inventaire M-1'!$A:$A,0)-1,MATCH("quantite",'Inventaire M-1'!#REF!,0))))</f>
        <v/>
      </c>
      <c r="J515" s="175"/>
      <c r="K515" s="155" t="str">
        <f>IF(B515="-","",INDEX('Inventaire M'!$A$2:$AW$9305,MATCH(B515,'Inventaire M'!$A:$A,0)-1,MATCH("poids",'Inventaire M'!#REF!,0)))</f>
        <v/>
      </c>
      <c r="L515" s="155" t="str">
        <f>IF(B515="-","",IF(ISERROR(INDEX('Inventaire M-1'!$A$2:$AZ$9320,MATCH(B515,'Inventaire M-1'!$A:$A,0)-1,MATCH("poids",'Inventaire M-1'!#REF!,0))),"Buy",INDEX('Inventaire M-1'!$A$2:$AZ$9320,MATCH(B515,'Inventaire M-1'!$A:$A,0)-1,MATCH("poids",'Inventaire M-1'!#REF!,0))))</f>
        <v/>
      </c>
      <c r="M515" s="175"/>
      <c r="N515" s="157" t="str">
        <f t="shared" si="55"/>
        <v>0</v>
      </c>
      <c r="O515" s="98" t="str">
        <f t="shared" si="54"/>
        <v/>
      </c>
      <c r="P515" s="80" t="str">
        <f t="shared" si="56"/>
        <v>-</v>
      </c>
      <c r="Q515" s="75">
        <v>4.9100000000000003E-8</v>
      </c>
      <c r="R515" s="175" t="str">
        <f>IF(OR('Inventaire M-1'!D267="Dispo/Liquidité Investie",'Inventaire M-1'!D267="Option/Future",'Inventaire M-1'!D267="TCN",'Inventaire M-1'!D267=""),"-",'Inventaire M-1'!A267)</f>
        <v>-</v>
      </c>
      <c r="S515" s="175" t="str">
        <f>IF(OR('Inventaire M-1'!D267="Dispo/Liquidité Investie",'Inventaire M-1'!D267="Option/Future",'Inventaire M-1'!D267="TCN",'Inventaire M-1'!D267=""),"-",'Inventaire M-1'!B267)</f>
        <v>-</v>
      </c>
      <c r="T515" s="175"/>
      <c r="U515" s="175" t="str">
        <f>IF(R515="-","",INDEX('Inventaire M-1'!$A$2:$AG$9334,MATCH(R515,'Inventaire M-1'!$A:$A,0)-1,MATCH("Cours EUR",'Inventaire M-1'!#REF!,0)))</f>
        <v/>
      </c>
      <c r="V515" s="175" t="str">
        <f>IF(R515="-","",IF(ISERROR(INDEX('Inventaire M'!$A$2:$AD$9319,MATCH(R515,'Inventaire M'!$A:$A,0)-1,MATCH("Cours EUR",'Inventaire M'!#REF!,0))),"Sell",INDEX('Inventaire M'!$A$2:$AD$9319,MATCH(R515,'Inventaire M'!$A:$A,0)-1,MATCH("Cours EUR",'Inventaire M'!#REF!,0))))</f>
        <v/>
      </c>
      <c r="W515" s="175"/>
      <c r="X515" s="156" t="str">
        <f>IF(R515="-","",INDEX('Inventaire M-1'!$A$2:$AG$9334,MATCH(R515,'Inventaire M-1'!$A:$A,0)-1,MATCH("quantite",'Inventaire M-1'!#REF!,0)))</f>
        <v/>
      </c>
      <c r="Y515" s="156" t="str">
        <f>IF(S515="-","",IF(ISERROR(INDEX('Inventaire M'!$A$2:$AD$9319,MATCH(R515,'Inventaire M'!$A:$A,0)-1,MATCH("quantite",'Inventaire M'!#REF!,0))),"Sell",INDEX('Inventaire M'!$A$2:$AD$9319,MATCH(R515,'Inventaire M'!$A:$A,0)-1,MATCH("quantite",'Inventaire M'!#REF!,0))))</f>
        <v/>
      </c>
      <c r="Z515" s="175"/>
      <c r="AA515" s="155" t="str">
        <f>IF(R515="-","",INDEX('Inventaire M-1'!$A$2:$AG$9334,MATCH(R515,'Inventaire M-1'!$A:$A,0)-1,MATCH("poids",'Inventaire M-1'!#REF!,0)))</f>
        <v/>
      </c>
      <c r="AB515" s="155" t="str">
        <f>IF(R515="-","",IF(ISERROR(INDEX('Inventaire M'!$A$2:$AD$9319,MATCH(R515,'Inventaire M'!$A:$A,0)-1,MATCH("poids",'Inventaire M'!#REF!,0))),"Sell",INDEX('Inventaire M'!$A$2:$AD$9319,MATCH(R515,'Inventaire M'!$A:$A,0)-1,MATCH("poids",'Inventaire M'!#REF!,0))))</f>
        <v/>
      </c>
      <c r="AC515" s="175"/>
      <c r="AD515" s="157" t="str">
        <f t="shared" si="57"/>
        <v>0</v>
      </c>
      <c r="AE515" s="98" t="str">
        <f t="shared" si="58"/>
        <v/>
      </c>
      <c r="AF515" s="80" t="str">
        <f t="shared" si="59"/>
        <v>-</v>
      </c>
    </row>
    <row r="516" spans="2:32" outlineLevel="1">
      <c r="B516" s="175" t="str">
        <f>IF(OR('Inventaire M'!D289="Dispo/Liquidité Investie",'Inventaire M'!D289="Option/Future",'Inventaire M'!D289="TCN",'Inventaire M'!D289=""),"-",'Inventaire M'!A289)</f>
        <v>-</v>
      </c>
      <c r="C516" s="175" t="str">
        <f>IF(OR('Inventaire M'!D289="Dispo/Liquidité Investie",'Inventaire M'!D289="Option/Future",'Inventaire M'!D289="TCN",'Inventaire M'!D289=""),"-",'Inventaire M'!B289)</f>
        <v>-</v>
      </c>
      <c r="D516" s="175"/>
      <c r="E516" s="175" t="str">
        <f>IF(B516="-","",INDEX('Inventaire M'!$A$2:$AW$9305,MATCH(B516,'Inventaire M'!$A:$A,0)-1,MATCH("Cours EUR",'Inventaire M'!#REF!,0)))</f>
        <v/>
      </c>
      <c r="F516" s="175" t="str">
        <f>IF(B516="-","",IF(ISERROR(INDEX('Inventaire M-1'!$A$2:$AZ$9320,MATCH(B516,'Inventaire M-1'!$A:$A,0)-1,MATCH("Cours EUR",'Inventaire M-1'!#REF!,0))),"Buy",INDEX('Inventaire M-1'!$A$2:$AZ$9320,MATCH(B516,'Inventaire M-1'!$A:$A,0)-1,MATCH("Cours EUR",'Inventaire M-1'!#REF!,0))))</f>
        <v/>
      </c>
      <c r="G516" s="175"/>
      <c r="H516" s="156" t="str">
        <f>IF(B516="-","",INDEX('Inventaire M'!$A$2:$AW$9305,MATCH(B516,'Inventaire M'!$A:$A,0)-1,MATCH("quantite",'Inventaire M'!#REF!,0)))</f>
        <v/>
      </c>
      <c r="I516" s="156" t="str">
        <f>IF(C516="-","",IF(ISERROR(INDEX('Inventaire M-1'!$A$2:$AZ$9320,MATCH(B516,'Inventaire M-1'!$A:$A,0)-1,MATCH("quantite",'Inventaire M-1'!#REF!,0))),"Buy",INDEX('Inventaire M-1'!$A$2:$AZ$9320,MATCH(B516,'Inventaire M-1'!$A:$A,0)-1,MATCH("quantite",'Inventaire M-1'!#REF!,0))))</f>
        <v/>
      </c>
      <c r="J516" s="175"/>
      <c r="K516" s="155" t="str">
        <f>IF(B516="-","",INDEX('Inventaire M'!$A$2:$AW$9305,MATCH(B516,'Inventaire M'!$A:$A,0)-1,MATCH("poids",'Inventaire M'!#REF!,0)))</f>
        <v/>
      </c>
      <c r="L516" s="155" t="str">
        <f>IF(B516="-","",IF(ISERROR(INDEX('Inventaire M-1'!$A$2:$AZ$9320,MATCH(B516,'Inventaire M-1'!$A:$A,0)-1,MATCH("poids",'Inventaire M-1'!#REF!,0))),"Buy",INDEX('Inventaire M-1'!$A$2:$AZ$9320,MATCH(B516,'Inventaire M-1'!$A:$A,0)-1,MATCH("poids",'Inventaire M-1'!#REF!,0))))</f>
        <v/>
      </c>
      <c r="M516" s="175"/>
      <c r="N516" s="157" t="str">
        <f t="shared" si="55"/>
        <v>0</v>
      </c>
      <c r="O516" s="98" t="str">
        <f t="shared" si="54"/>
        <v/>
      </c>
      <c r="P516" s="80" t="str">
        <f t="shared" si="56"/>
        <v>-</v>
      </c>
      <c r="Q516" s="75">
        <v>4.9199999999999997E-8</v>
      </c>
      <c r="R516" s="175" t="str">
        <f>IF(OR('Inventaire M-1'!D268="Dispo/Liquidité Investie",'Inventaire M-1'!D268="Option/Future",'Inventaire M-1'!D268="TCN",'Inventaire M-1'!D268=""),"-",'Inventaire M-1'!A268)</f>
        <v>-</v>
      </c>
      <c r="S516" s="175" t="str">
        <f>IF(OR('Inventaire M-1'!D268="Dispo/Liquidité Investie",'Inventaire M-1'!D268="Option/Future",'Inventaire M-1'!D268="TCN",'Inventaire M-1'!D268=""),"-",'Inventaire M-1'!B268)</f>
        <v>-</v>
      </c>
      <c r="T516" s="175"/>
      <c r="U516" s="175" t="str">
        <f>IF(R516="-","",INDEX('Inventaire M-1'!$A$2:$AG$9334,MATCH(R516,'Inventaire M-1'!$A:$A,0)-1,MATCH("Cours EUR",'Inventaire M-1'!#REF!,0)))</f>
        <v/>
      </c>
      <c r="V516" s="175" t="str">
        <f>IF(R516="-","",IF(ISERROR(INDEX('Inventaire M'!$A$2:$AD$9319,MATCH(R516,'Inventaire M'!$A:$A,0)-1,MATCH("Cours EUR",'Inventaire M'!#REF!,0))),"Sell",INDEX('Inventaire M'!$A$2:$AD$9319,MATCH(R516,'Inventaire M'!$A:$A,0)-1,MATCH("Cours EUR",'Inventaire M'!#REF!,0))))</f>
        <v/>
      </c>
      <c r="W516" s="175"/>
      <c r="X516" s="156" t="str">
        <f>IF(R516="-","",INDEX('Inventaire M-1'!$A$2:$AG$9334,MATCH(R516,'Inventaire M-1'!$A:$A,0)-1,MATCH("quantite",'Inventaire M-1'!#REF!,0)))</f>
        <v/>
      </c>
      <c r="Y516" s="156" t="str">
        <f>IF(S516="-","",IF(ISERROR(INDEX('Inventaire M'!$A$2:$AD$9319,MATCH(R516,'Inventaire M'!$A:$A,0)-1,MATCH("quantite",'Inventaire M'!#REF!,0))),"Sell",INDEX('Inventaire M'!$A$2:$AD$9319,MATCH(R516,'Inventaire M'!$A:$A,0)-1,MATCH("quantite",'Inventaire M'!#REF!,0))))</f>
        <v/>
      </c>
      <c r="Z516" s="175"/>
      <c r="AA516" s="155" t="str">
        <f>IF(R516="-","",INDEX('Inventaire M-1'!$A$2:$AG$9334,MATCH(R516,'Inventaire M-1'!$A:$A,0)-1,MATCH("poids",'Inventaire M-1'!#REF!,0)))</f>
        <v/>
      </c>
      <c r="AB516" s="155" t="str">
        <f>IF(R516="-","",IF(ISERROR(INDEX('Inventaire M'!$A$2:$AD$9319,MATCH(R516,'Inventaire M'!$A:$A,0)-1,MATCH("poids",'Inventaire M'!#REF!,0))),"Sell",INDEX('Inventaire M'!$A$2:$AD$9319,MATCH(R516,'Inventaire M'!$A:$A,0)-1,MATCH("poids",'Inventaire M'!#REF!,0))))</f>
        <v/>
      </c>
      <c r="AC516" s="175"/>
      <c r="AD516" s="157" t="str">
        <f t="shared" si="57"/>
        <v>0</v>
      </c>
      <c r="AE516" s="98" t="str">
        <f t="shared" si="58"/>
        <v/>
      </c>
      <c r="AF516" s="80" t="str">
        <f t="shared" si="59"/>
        <v>-</v>
      </c>
    </row>
    <row r="517" spans="2:32" outlineLevel="1">
      <c r="B517" s="175" t="str">
        <f>IF(OR('Inventaire M'!D290="Dispo/Liquidité Investie",'Inventaire M'!D290="Option/Future",'Inventaire M'!D290="TCN",'Inventaire M'!D290=""),"-",'Inventaire M'!A290)</f>
        <v>-</v>
      </c>
      <c r="C517" s="175" t="str">
        <f>IF(OR('Inventaire M'!D290="Dispo/Liquidité Investie",'Inventaire M'!D290="Option/Future",'Inventaire M'!D290="TCN",'Inventaire M'!D290=""),"-",'Inventaire M'!B290)</f>
        <v>-</v>
      </c>
      <c r="D517" s="175"/>
      <c r="E517" s="175" t="str">
        <f>IF(B517="-","",INDEX('Inventaire M'!$A$2:$AW$9305,MATCH(B517,'Inventaire M'!$A:$A,0)-1,MATCH("Cours EUR",'Inventaire M'!#REF!,0)))</f>
        <v/>
      </c>
      <c r="F517" s="175" t="str">
        <f>IF(B517="-","",IF(ISERROR(INDEX('Inventaire M-1'!$A$2:$AZ$9320,MATCH(B517,'Inventaire M-1'!$A:$A,0)-1,MATCH("Cours EUR",'Inventaire M-1'!#REF!,0))),"Buy",INDEX('Inventaire M-1'!$A$2:$AZ$9320,MATCH(B517,'Inventaire M-1'!$A:$A,0)-1,MATCH("Cours EUR",'Inventaire M-1'!#REF!,0))))</f>
        <v/>
      </c>
      <c r="G517" s="175"/>
      <c r="H517" s="156" t="str">
        <f>IF(B517="-","",INDEX('Inventaire M'!$A$2:$AW$9305,MATCH(B517,'Inventaire M'!$A:$A,0)-1,MATCH("quantite",'Inventaire M'!#REF!,0)))</f>
        <v/>
      </c>
      <c r="I517" s="156" t="str">
        <f>IF(C517="-","",IF(ISERROR(INDEX('Inventaire M-1'!$A$2:$AZ$9320,MATCH(B517,'Inventaire M-1'!$A:$A,0)-1,MATCH("quantite",'Inventaire M-1'!#REF!,0))),"Buy",INDEX('Inventaire M-1'!$A$2:$AZ$9320,MATCH(B517,'Inventaire M-1'!$A:$A,0)-1,MATCH("quantite",'Inventaire M-1'!#REF!,0))))</f>
        <v/>
      </c>
      <c r="J517" s="175"/>
      <c r="K517" s="155" t="str">
        <f>IF(B517="-","",INDEX('Inventaire M'!$A$2:$AW$9305,MATCH(B517,'Inventaire M'!$A:$A,0)-1,MATCH("poids",'Inventaire M'!#REF!,0)))</f>
        <v/>
      </c>
      <c r="L517" s="155" t="str">
        <f>IF(B517="-","",IF(ISERROR(INDEX('Inventaire M-1'!$A$2:$AZ$9320,MATCH(B517,'Inventaire M-1'!$A:$A,0)-1,MATCH("poids",'Inventaire M-1'!#REF!,0))),"Buy",INDEX('Inventaire M-1'!$A$2:$AZ$9320,MATCH(B517,'Inventaire M-1'!$A:$A,0)-1,MATCH("poids",'Inventaire M-1'!#REF!,0))))</f>
        <v/>
      </c>
      <c r="M517" s="175"/>
      <c r="N517" s="157" t="str">
        <f t="shared" si="55"/>
        <v>0</v>
      </c>
      <c r="O517" s="98" t="str">
        <f t="shared" si="54"/>
        <v/>
      </c>
      <c r="P517" s="80" t="str">
        <f t="shared" si="56"/>
        <v>-</v>
      </c>
      <c r="Q517" s="75">
        <v>4.9299999999999998E-8</v>
      </c>
      <c r="R517" s="175" t="str">
        <f>IF(OR('Inventaire M-1'!D269="Dispo/Liquidité Investie",'Inventaire M-1'!D269="Option/Future",'Inventaire M-1'!D269="TCN",'Inventaire M-1'!D269=""),"-",'Inventaire M-1'!A269)</f>
        <v>-</v>
      </c>
      <c r="S517" s="175" t="str">
        <f>IF(OR('Inventaire M-1'!D269="Dispo/Liquidité Investie",'Inventaire M-1'!D269="Option/Future",'Inventaire M-1'!D269="TCN",'Inventaire M-1'!D269=""),"-",'Inventaire M-1'!B269)</f>
        <v>-</v>
      </c>
      <c r="T517" s="175"/>
      <c r="U517" s="175" t="str">
        <f>IF(R517="-","",INDEX('Inventaire M-1'!$A$2:$AG$9334,MATCH(R517,'Inventaire M-1'!$A:$A,0)-1,MATCH("Cours EUR",'Inventaire M-1'!#REF!,0)))</f>
        <v/>
      </c>
      <c r="V517" s="175" t="str">
        <f>IF(R517="-","",IF(ISERROR(INDEX('Inventaire M'!$A$2:$AD$9319,MATCH(R517,'Inventaire M'!$A:$A,0)-1,MATCH("Cours EUR",'Inventaire M'!#REF!,0))),"Sell",INDEX('Inventaire M'!$A$2:$AD$9319,MATCH(R517,'Inventaire M'!$A:$A,0)-1,MATCH("Cours EUR",'Inventaire M'!#REF!,0))))</f>
        <v/>
      </c>
      <c r="W517" s="175"/>
      <c r="X517" s="156" t="str">
        <f>IF(R517="-","",INDEX('Inventaire M-1'!$A$2:$AG$9334,MATCH(R517,'Inventaire M-1'!$A:$A,0)-1,MATCH("quantite",'Inventaire M-1'!#REF!,0)))</f>
        <v/>
      </c>
      <c r="Y517" s="156" t="str">
        <f>IF(S517="-","",IF(ISERROR(INDEX('Inventaire M'!$A$2:$AD$9319,MATCH(R517,'Inventaire M'!$A:$A,0)-1,MATCH("quantite",'Inventaire M'!#REF!,0))),"Sell",INDEX('Inventaire M'!$A$2:$AD$9319,MATCH(R517,'Inventaire M'!$A:$A,0)-1,MATCH("quantite",'Inventaire M'!#REF!,0))))</f>
        <v/>
      </c>
      <c r="Z517" s="175"/>
      <c r="AA517" s="155" t="str">
        <f>IF(R517="-","",INDEX('Inventaire M-1'!$A$2:$AG$9334,MATCH(R517,'Inventaire M-1'!$A:$A,0)-1,MATCH("poids",'Inventaire M-1'!#REF!,0)))</f>
        <v/>
      </c>
      <c r="AB517" s="155" t="str">
        <f>IF(R517="-","",IF(ISERROR(INDEX('Inventaire M'!$A$2:$AD$9319,MATCH(R517,'Inventaire M'!$A:$A,0)-1,MATCH("poids",'Inventaire M'!#REF!,0))),"Sell",INDEX('Inventaire M'!$A$2:$AD$9319,MATCH(R517,'Inventaire M'!$A:$A,0)-1,MATCH("poids",'Inventaire M'!#REF!,0))))</f>
        <v/>
      </c>
      <c r="AC517" s="175"/>
      <c r="AD517" s="157" t="str">
        <f t="shared" si="57"/>
        <v>0</v>
      </c>
      <c r="AE517" s="98" t="str">
        <f t="shared" si="58"/>
        <v/>
      </c>
      <c r="AF517" s="80" t="str">
        <f t="shared" si="59"/>
        <v>-</v>
      </c>
    </row>
    <row r="518" spans="2:32" outlineLevel="1">
      <c r="B518" s="175" t="str">
        <f>IF(OR('Inventaire M'!D291="Dispo/Liquidité Investie",'Inventaire M'!D291="Option/Future",'Inventaire M'!D291="TCN",'Inventaire M'!D291=""),"-",'Inventaire M'!A291)</f>
        <v>-</v>
      </c>
      <c r="C518" s="175" t="str">
        <f>IF(OR('Inventaire M'!D291="Dispo/Liquidité Investie",'Inventaire M'!D291="Option/Future",'Inventaire M'!D291="TCN",'Inventaire M'!D291=""),"-",'Inventaire M'!B291)</f>
        <v>-</v>
      </c>
      <c r="D518" s="175"/>
      <c r="E518" s="175" t="str">
        <f>IF(B518="-","",INDEX('Inventaire M'!$A$2:$AW$9305,MATCH(B518,'Inventaire M'!$A:$A,0)-1,MATCH("Cours EUR",'Inventaire M'!#REF!,0)))</f>
        <v/>
      </c>
      <c r="F518" s="175" t="str">
        <f>IF(B518="-","",IF(ISERROR(INDEX('Inventaire M-1'!$A$2:$AZ$9320,MATCH(B518,'Inventaire M-1'!$A:$A,0)-1,MATCH("Cours EUR",'Inventaire M-1'!#REF!,0))),"Buy",INDEX('Inventaire M-1'!$A$2:$AZ$9320,MATCH(B518,'Inventaire M-1'!$A:$A,0)-1,MATCH("Cours EUR",'Inventaire M-1'!#REF!,0))))</f>
        <v/>
      </c>
      <c r="G518" s="175"/>
      <c r="H518" s="156" t="str">
        <f>IF(B518="-","",INDEX('Inventaire M'!$A$2:$AW$9305,MATCH(B518,'Inventaire M'!$A:$A,0)-1,MATCH("quantite",'Inventaire M'!#REF!,0)))</f>
        <v/>
      </c>
      <c r="I518" s="156" t="str">
        <f>IF(C518="-","",IF(ISERROR(INDEX('Inventaire M-1'!$A$2:$AZ$9320,MATCH(B518,'Inventaire M-1'!$A:$A,0)-1,MATCH("quantite",'Inventaire M-1'!#REF!,0))),"Buy",INDEX('Inventaire M-1'!$A$2:$AZ$9320,MATCH(B518,'Inventaire M-1'!$A:$A,0)-1,MATCH("quantite",'Inventaire M-1'!#REF!,0))))</f>
        <v/>
      </c>
      <c r="J518" s="175"/>
      <c r="K518" s="155" t="str">
        <f>IF(B518="-","",INDEX('Inventaire M'!$A$2:$AW$9305,MATCH(B518,'Inventaire M'!$A:$A,0)-1,MATCH("poids",'Inventaire M'!#REF!,0)))</f>
        <v/>
      </c>
      <c r="L518" s="155" t="str">
        <f>IF(B518="-","",IF(ISERROR(INDEX('Inventaire M-1'!$A$2:$AZ$9320,MATCH(B518,'Inventaire M-1'!$A:$A,0)-1,MATCH("poids",'Inventaire M-1'!#REF!,0))),"Buy",INDEX('Inventaire M-1'!$A$2:$AZ$9320,MATCH(B518,'Inventaire M-1'!$A:$A,0)-1,MATCH("poids",'Inventaire M-1'!#REF!,0))))</f>
        <v/>
      </c>
      <c r="M518" s="175"/>
      <c r="N518" s="157" t="str">
        <f t="shared" si="55"/>
        <v>0</v>
      </c>
      <c r="O518" s="98" t="str">
        <f t="shared" si="54"/>
        <v/>
      </c>
      <c r="P518" s="80" t="str">
        <f t="shared" si="56"/>
        <v>-</v>
      </c>
      <c r="Q518" s="75">
        <v>4.9399999999999999E-8</v>
      </c>
      <c r="R518" s="175" t="str">
        <f>IF(OR('Inventaire M-1'!D270="Dispo/Liquidité Investie",'Inventaire M-1'!D270="Option/Future",'Inventaire M-1'!D270="TCN",'Inventaire M-1'!D270=""),"-",'Inventaire M-1'!A270)</f>
        <v>-</v>
      </c>
      <c r="S518" s="175" t="str">
        <f>IF(OR('Inventaire M-1'!D270="Dispo/Liquidité Investie",'Inventaire M-1'!D270="Option/Future",'Inventaire M-1'!D270="TCN",'Inventaire M-1'!D270=""),"-",'Inventaire M-1'!B270)</f>
        <v>-</v>
      </c>
      <c r="T518" s="175"/>
      <c r="U518" s="175" t="str">
        <f>IF(R518="-","",INDEX('Inventaire M-1'!$A$2:$AG$9334,MATCH(R518,'Inventaire M-1'!$A:$A,0)-1,MATCH("Cours EUR",'Inventaire M-1'!#REF!,0)))</f>
        <v/>
      </c>
      <c r="V518" s="175" t="str">
        <f>IF(R518="-","",IF(ISERROR(INDEX('Inventaire M'!$A$2:$AD$9319,MATCH(R518,'Inventaire M'!$A:$A,0)-1,MATCH("Cours EUR",'Inventaire M'!#REF!,0))),"Sell",INDEX('Inventaire M'!$A$2:$AD$9319,MATCH(R518,'Inventaire M'!$A:$A,0)-1,MATCH("Cours EUR",'Inventaire M'!#REF!,0))))</f>
        <v/>
      </c>
      <c r="W518" s="175"/>
      <c r="X518" s="156" t="str">
        <f>IF(R518="-","",INDEX('Inventaire M-1'!$A$2:$AG$9334,MATCH(R518,'Inventaire M-1'!$A:$A,0)-1,MATCH("quantite",'Inventaire M-1'!#REF!,0)))</f>
        <v/>
      </c>
      <c r="Y518" s="156" t="str">
        <f>IF(S518="-","",IF(ISERROR(INDEX('Inventaire M'!$A$2:$AD$9319,MATCH(R518,'Inventaire M'!$A:$A,0)-1,MATCH("quantite",'Inventaire M'!#REF!,0))),"Sell",INDEX('Inventaire M'!$A$2:$AD$9319,MATCH(R518,'Inventaire M'!$A:$A,0)-1,MATCH("quantite",'Inventaire M'!#REF!,0))))</f>
        <v/>
      </c>
      <c r="Z518" s="175"/>
      <c r="AA518" s="155" t="str">
        <f>IF(R518="-","",INDEX('Inventaire M-1'!$A$2:$AG$9334,MATCH(R518,'Inventaire M-1'!$A:$A,0)-1,MATCH("poids",'Inventaire M-1'!#REF!,0)))</f>
        <v/>
      </c>
      <c r="AB518" s="155" t="str">
        <f>IF(R518="-","",IF(ISERROR(INDEX('Inventaire M'!$A$2:$AD$9319,MATCH(R518,'Inventaire M'!$A:$A,0)-1,MATCH("poids",'Inventaire M'!#REF!,0))),"Sell",INDEX('Inventaire M'!$A$2:$AD$9319,MATCH(R518,'Inventaire M'!$A:$A,0)-1,MATCH("poids",'Inventaire M'!#REF!,0))))</f>
        <v/>
      </c>
      <c r="AC518" s="175"/>
      <c r="AD518" s="157" t="str">
        <f t="shared" si="57"/>
        <v>0</v>
      </c>
      <c r="AE518" s="98" t="str">
        <f t="shared" si="58"/>
        <v/>
      </c>
      <c r="AF518" s="80" t="str">
        <f t="shared" si="59"/>
        <v>-</v>
      </c>
    </row>
    <row r="519" spans="2:32" outlineLevel="1">
      <c r="B519" s="175" t="str">
        <f>IF(OR('Inventaire M'!D292="Dispo/Liquidité Investie",'Inventaire M'!D292="Option/Future",'Inventaire M'!D292="TCN",'Inventaire M'!D292=""),"-",'Inventaire M'!A292)</f>
        <v>-</v>
      </c>
      <c r="C519" s="175" t="str">
        <f>IF(OR('Inventaire M'!D292="Dispo/Liquidité Investie",'Inventaire M'!D292="Option/Future",'Inventaire M'!D292="TCN",'Inventaire M'!D292=""),"-",'Inventaire M'!B292)</f>
        <v>-</v>
      </c>
      <c r="D519" s="175"/>
      <c r="E519" s="175" t="str">
        <f>IF(B519="-","",INDEX('Inventaire M'!$A$2:$AW$9305,MATCH(B519,'Inventaire M'!$A:$A,0)-1,MATCH("Cours EUR",'Inventaire M'!#REF!,0)))</f>
        <v/>
      </c>
      <c r="F519" s="175" t="str">
        <f>IF(B519="-","",IF(ISERROR(INDEX('Inventaire M-1'!$A$2:$AZ$9320,MATCH(B519,'Inventaire M-1'!$A:$A,0)-1,MATCH("Cours EUR",'Inventaire M-1'!#REF!,0))),"Buy",INDEX('Inventaire M-1'!$A$2:$AZ$9320,MATCH(B519,'Inventaire M-1'!$A:$A,0)-1,MATCH("Cours EUR",'Inventaire M-1'!#REF!,0))))</f>
        <v/>
      </c>
      <c r="G519" s="175"/>
      <c r="H519" s="156" t="str">
        <f>IF(B519="-","",INDEX('Inventaire M'!$A$2:$AW$9305,MATCH(B519,'Inventaire M'!$A:$A,0)-1,MATCH("quantite",'Inventaire M'!#REF!,0)))</f>
        <v/>
      </c>
      <c r="I519" s="156" t="str">
        <f>IF(C519="-","",IF(ISERROR(INDEX('Inventaire M-1'!$A$2:$AZ$9320,MATCH(B519,'Inventaire M-1'!$A:$A,0)-1,MATCH("quantite",'Inventaire M-1'!#REF!,0))),"Buy",INDEX('Inventaire M-1'!$A$2:$AZ$9320,MATCH(B519,'Inventaire M-1'!$A:$A,0)-1,MATCH("quantite",'Inventaire M-1'!#REF!,0))))</f>
        <v/>
      </c>
      <c r="J519" s="175"/>
      <c r="K519" s="155" t="str">
        <f>IF(B519="-","",INDEX('Inventaire M'!$A$2:$AW$9305,MATCH(B519,'Inventaire M'!$A:$A,0)-1,MATCH("poids",'Inventaire M'!#REF!,0)))</f>
        <v/>
      </c>
      <c r="L519" s="155" t="str">
        <f>IF(B519="-","",IF(ISERROR(INDEX('Inventaire M-1'!$A$2:$AZ$9320,MATCH(B519,'Inventaire M-1'!$A:$A,0)-1,MATCH("poids",'Inventaire M-1'!#REF!,0))),"Buy",INDEX('Inventaire M-1'!$A$2:$AZ$9320,MATCH(B519,'Inventaire M-1'!$A:$A,0)-1,MATCH("poids",'Inventaire M-1'!#REF!,0))))</f>
        <v/>
      </c>
      <c r="M519" s="175"/>
      <c r="N519" s="157" t="str">
        <f t="shared" si="55"/>
        <v>0</v>
      </c>
      <c r="O519" s="98" t="str">
        <f t="shared" si="54"/>
        <v/>
      </c>
      <c r="P519" s="80" t="str">
        <f t="shared" si="56"/>
        <v>-</v>
      </c>
      <c r="Q519" s="75">
        <v>4.95E-8</v>
      </c>
      <c r="R519" s="175" t="str">
        <f>IF(OR('Inventaire M-1'!D271="Dispo/Liquidité Investie",'Inventaire M-1'!D271="Option/Future",'Inventaire M-1'!D271="TCN",'Inventaire M-1'!D271=""),"-",'Inventaire M-1'!A271)</f>
        <v>-</v>
      </c>
      <c r="S519" s="175" t="str">
        <f>IF(OR('Inventaire M-1'!D271="Dispo/Liquidité Investie",'Inventaire M-1'!D271="Option/Future",'Inventaire M-1'!D271="TCN",'Inventaire M-1'!D271=""),"-",'Inventaire M-1'!B271)</f>
        <v>-</v>
      </c>
      <c r="T519" s="175"/>
      <c r="U519" s="175" t="str">
        <f>IF(R519="-","",INDEX('Inventaire M-1'!$A$2:$AG$9334,MATCH(R519,'Inventaire M-1'!$A:$A,0)-1,MATCH("Cours EUR",'Inventaire M-1'!#REF!,0)))</f>
        <v/>
      </c>
      <c r="V519" s="175" t="str">
        <f>IF(R519="-","",IF(ISERROR(INDEX('Inventaire M'!$A$2:$AD$9319,MATCH(R519,'Inventaire M'!$A:$A,0)-1,MATCH("Cours EUR",'Inventaire M'!#REF!,0))),"Sell",INDEX('Inventaire M'!$A$2:$AD$9319,MATCH(R519,'Inventaire M'!$A:$A,0)-1,MATCH("Cours EUR",'Inventaire M'!#REF!,0))))</f>
        <v/>
      </c>
      <c r="W519" s="175"/>
      <c r="X519" s="156" t="str">
        <f>IF(R519="-","",INDEX('Inventaire M-1'!$A$2:$AG$9334,MATCH(R519,'Inventaire M-1'!$A:$A,0)-1,MATCH("quantite",'Inventaire M-1'!#REF!,0)))</f>
        <v/>
      </c>
      <c r="Y519" s="156" t="str">
        <f>IF(S519="-","",IF(ISERROR(INDEX('Inventaire M'!$A$2:$AD$9319,MATCH(R519,'Inventaire M'!$A:$A,0)-1,MATCH("quantite",'Inventaire M'!#REF!,0))),"Sell",INDEX('Inventaire M'!$A$2:$AD$9319,MATCH(R519,'Inventaire M'!$A:$A,0)-1,MATCH("quantite",'Inventaire M'!#REF!,0))))</f>
        <v/>
      </c>
      <c r="Z519" s="175"/>
      <c r="AA519" s="155" t="str">
        <f>IF(R519="-","",INDEX('Inventaire M-1'!$A$2:$AG$9334,MATCH(R519,'Inventaire M-1'!$A:$A,0)-1,MATCH("poids",'Inventaire M-1'!#REF!,0)))</f>
        <v/>
      </c>
      <c r="AB519" s="155" t="str">
        <f>IF(R519="-","",IF(ISERROR(INDEX('Inventaire M'!$A$2:$AD$9319,MATCH(R519,'Inventaire M'!$A:$A,0)-1,MATCH("poids",'Inventaire M'!#REF!,0))),"Sell",INDEX('Inventaire M'!$A$2:$AD$9319,MATCH(R519,'Inventaire M'!$A:$A,0)-1,MATCH("poids",'Inventaire M'!#REF!,0))))</f>
        <v/>
      </c>
      <c r="AC519" s="175"/>
      <c r="AD519" s="157" t="str">
        <f t="shared" si="57"/>
        <v>0</v>
      </c>
      <c r="AE519" s="98" t="str">
        <f t="shared" si="58"/>
        <v/>
      </c>
      <c r="AF519" s="80" t="str">
        <f t="shared" si="59"/>
        <v>-</v>
      </c>
    </row>
    <row r="520" spans="2:32" outlineLevel="1">
      <c r="B520" s="175" t="str">
        <f>IF(OR('Inventaire M'!D293="Dispo/Liquidité Investie",'Inventaire M'!D293="Option/Future",'Inventaire M'!D293="TCN",'Inventaire M'!D293=""),"-",'Inventaire M'!A293)</f>
        <v>-</v>
      </c>
      <c r="C520" s="175" t="str">
        <f>IF(OR('Inventaire M'!D293="Dispo/Liquidité Investie",'Inventaire M'!D293="Option/Future",'Inventaire M'!D293="TCN",'Inventaire M'!D293=""),"-",'Inventaire M'!B293)</f>
        <v>-</v>
      </c>
      <c r="D520" s="175"/>
      <c r="E520" s="175" t="str">
        <f>IF(B520="-","",INDEX('Inventaire M'!$A$2:$AW$9305,MATCH(B520,'Inventaire M'!$A:$A,0)-1,MATCH("Cours EUR",'Inventaire M'!#REF!,0)))</f>
        <v/>
      </c>
      <c r="F520" s="175" t="str">
        <f>IF(B520="-","",IF(ISERROR(INDEX('Inventaire M-1'!$A$2:$AZ$9320,MATCH(B520,'Inventaire M-1'!$A:$A,0)-1,MATCH("Cours EUR",'Inventaire M-1'!#REF!,0))),"Buy",INDEX('Inventaire M-1'!$A$2:$AZ$9320,MATCH(B520,'Inventaire M-1'!$A:$A,0)-1,MATCH("Cours EUR",'Inventaire M-1'!#REF!,0))))</f>
        <v/>
      </c>
      <c r="G520" s="175"/>
      <c r="H520" s="156" t="str">
        <f>IF(B520="-","",INDEX('Inventaire M'!$A$2:$AW$9305,MATCH(B520,'Inventaire M'!$A:$A,0)-1,MATCH("quantite",'Inventaire M'!#REF!,0)))</f>
        <v/>
      </c>
      <c r="I520" s="156" t="str">
        <f>IF(C520="-","",IF(ISERROR(INDEX('Inventaire M-1'!$A$2:$AZ$9320,MATCH(B520,'Inventaire M-1'!$A:$A,0)-1,MATCH("quantite",'Inventaire M-1'!#REF!,0))),"Buy",INDEX('Inventaire M-1'!$A$2:$AZ$9320,MATCH(B520,'Inventaire M-1'!$A:$A,0)-1,MATCH("quantite",'Inventaire M-1'!#REF!,0))))</f>
        <v/>
      </c>
      <c r="J520" s="175"/>
      <c r="K520" s="155" t="str">
        <f>IF(B520="-","",INDEX('Inventaire M'!$A$2:$AW$9305,MATCH(B520,'Inventaire M'!$A:$A,0)-1,MATCH("poids",'Inventaire M'!#REF!,0)))</f>
        <v/>
      </c>
      <c r="L520" s="155" t="str">
        <f>IF(B520="-","",IF(ISERROR(INDEX('Inventaire M-1'!$A$2:$AZ$9320,MATCH(B520,'Inventaire M-1'!$A:$A,0)-1,MATCH("poids",'Inventaire M-1'!#REF!,0))),"Buy",INDEX('Inventaire M-1'!$A$2:$AZ$9320,MATCH(B520,'Inventaire M-1'!$A:$A,0)-1,MATCH("poids",'Inventaire M-1'!#REF!,0))))</f>
        <v/>
      </c>
      <c r="M520" s="175"/>
      <c r="N520" s="157" t="str">
        <f t="shared" si="55"/>
        <v>0</v>
      </c>
      <c r="O520" s="98" t="str">
        <f t="shared" si="54"/>
        <v/>
      </c>
      <c r="P520" s="80" t="str">
        <f t="shared" si="56"/>
        <v>-</v>
      </c>
      <c r="Q520" s="75">
        <v>4.9600000000000001E-8</v>
      </c>
      <c r="R520" s="175" t="str">
        <f>IF(OR('Inventaire M-1'!D272="Dispo/Liquidité Investie",'Inventaire M-1'!D272="Option/Future",'Inventaire M-1'!D272="TCN",'Inventaire M-1'!D272=""),"-",'Inventaire M-1'!A272)</f>
        <v>-</v>
      </c>
      <c r="S520" s="175" t="str">
        <f>IF(OR('Inventaire M-1'!D272="Dispo/Liquidité Investie",'Inventaire M-1'!D272="Option/Future",'Inventaire M-1'!D272="TCN",'Inventaire M-1'!D272=""),"-",'Inventaire M-1'!B272)</f>
        <v>-</v>
      </c>
      <c r="T520" s="175"/>
      <c r="U520" s="175" t="str">
        <f>IF(R520="-","",INDEX('Inventaire M-1'!$A$2:$AG$9334,MATCH(R520,'Inventaire M-1'!$A:$A,0)-1,MATCH("Cours EUR",'Inventaire M-1'!#REF!,0)))</f>
        <v/>
      </c>
      <c r="V520" s="175" t="str">
        <f>IF(R520="-","",IF(ISERROR(INDEX('Inventaire M'!$A$2:$AD$9319,MATCH(R520,'Inventaire M'!$A:$A,0)-1,MATCH("Cours EUR",'Inventaire M'!#REF!,0))),"Sell",INDEX('Inventaire M'!$A$2:$AD$9319,MATCH(R520,'Inventaire M'!$A:$A,0)-1,MATCH("Cours EUR",'Inventaire M'!#REF!,0))))</f>
        <v/>
      </c>
      <c r="W520" s="175"/>
      <c r="X520" s="156" t="str">
        <f>IF(R520="-","",INDEX('Inventaire M-1'!$A$2:$AG$9334,MATCH(R520,'Inventaire M-1'!$A:$A,0)-1,MATCH("quantite",'Inventaire M-1'!#REF!,0)))</f>
        <v/>
      </c>
      <c r="Y520" s="156" t="str">
        <f>IF(S520="-","",IF(ISERROR(INDEX('Inventaire M'!$A$2:$AD$9319,MATCH(R520,'Inventaire M'!$A:$A,0)-1,MATCH("quantite",'Inventaire M'!#REF!,0))),"Sell",INDEX('Inventaire M'!$A$2:$AD$9319,MATCH(R520,'Inventaire M'!$A:$A,0)-1,MATCH("quantite",'Inventaire M'!#REF!,0))))</f>
        <v/>
      </c>
      <c r="Z520" s="175"/>
      <c r="AA520" s="155" t="str">
        <f>IF(R520="-","",INDEX('Inventaire M-1'!$A$2:$AG$9334,MATCH(R520,'Inventaire M-1'!$A:$A,0)-1,MATCH("poids",'Inventaire M-1'!#REF!,0)))</f>
        <v/>
      </c>
      <c r="AB520" s="155" t="str">
        <f>IF(R520="-","",IF(ISERROR(INDEX('Inventaire M'!$A$2:$AD$9319,MATCH(R520,'Inventaire M'!$A:$A,0)-1,MATCH("poids",'Inventaire M'!#REF!,0))),"Sell",INDEX('Inventaire M'!$A$2:$AD$9319,MATCH(R520,'Inventaire M'!$A:$A,0)-1,MATCH("poids",'Inventaire M'!#REF!,0))))</f>
        <v/>
      </c>
      <c r="AC520" s="175"/>
      <c r="AD520" s="157" t="str">
        <f t="shared" si="57"/>
        <v>0</v>
      </c>
      <c r="AE520" s="98" t="str">
        <f t="shared" si="58"/>
        <v/>
      </c>
      <c r="AF520" s="80" t="str">
        <f t="shared" si="59"/>
        <v>-</v>
      </c>
    </row>
    <row r="521" spans="2:32" outlineLevel="1">
      <c r="B521" s="175" t="str">
        <f>IF(OR('Inventaire M'!D294="Dispo/Liquidité Investie",'Inventaire M'!D294="Option/Future",'Inventaire M'!D294="TCN",'Inventaire M'!D294=""),"-",'Inventaire M'!A294)</f>
        <v>-</v>
      </c>
      <c r="C521" s="175" t="str">
        <f>IF(OR('Inventaire M'!D294="Dispo/Liquidité Investie",'Inventaire M'!D294="Option/Future",'Inventaire M'!D294="TCN",'Inventaire M'!D294=""),"-",'Inventaire M'!B294)</f>
        <v>-</v>
      </c>
      <c r="D521" s="175"/>
      <c r="E521" s="175" t="str">
        <f>IF(B521="-","",INDEX('Inventaire M'!$A$2:$AW$9305,MATCH(B521,'Inventaire M'!$A:$A,0)-1,MATCH("Cours EUR",'Inventaire M'!#REF!,0)))</f>
        <v/>
      </c>
      <c r="F521" s="175" t="str">
        <f>IF(B521="-","",IF(ISERROR(INDEX('Inventaire M-1'!$A$2:$AZ$9320,MATCH(B521,'Inventaire M-1'!$A:$A,0)-1,MATCH("Cours EUR",'Inventaire M-1'!#REF!,0))),"Buy",INDEX('Inventaire M-1'!$A$2:$AZ$9320,MATCH(B521,'Inventaire M-1'!$A:$A,0)-1,MATCH("Cours EUR",'Inventaire M-1'!#REF!,0))))</f>
        <v/>
      </c>
      <c r="G521" s="175"/>
      <c r="H521" s="156" t="str">
        <f>IF(B521="-","",INDEX('Inventaire M'!$A$2:$AW$9305,MATCH(B521,'Inventaire M'!$A:$A,0)-1,MATCH("quantite",'Inventaire M'!#REF!,0)))</f>
        <v/>
      </c>
      <c r="I521" s="156" t="str">
        <f>IF(C521="-","",IF(ISERROR(INDEX('Inventaire M-1'!$A$2:$AZ$9320,MATCH(B521,'Inventaire M-1'!$A:$A,0)-1,MATCH("quantite",'Inventaire M-1'!#REF!,0))),"Buy",INDEX('Inventaire M-1'!$A$2:$AZ$9320,MATCH(B521,'Inventaire M-1'!$A:$A,0)-1,MATCH("quantite",'Inventaire M-1'!#REF!,0))))</f>
        <v/>
      </c>
      <c r="J521" s="175"/>
      <c r="K521" s="155" t="str">
        <f>IF(B521="-","",INDEX('Inventaire M'!$A$2:$AW$9305,MATCH(B521,'Inventaire M'!$A:$A,0)-1,MATCH("poids",'Inventaire M'!#REF!,0)))</f>
        <v/>
      </c>
      <c r="L521" s="155" t="str">
        <f>IF(B521="-","",IF(ISERROR(INDEX('Inventaire M-1'!$A$2:$AZ$9320,MATCH(B521,'Inventaire M-1'!$A:$A,0)-1,MATCH("poids",'Inventaire M-1'!#REF!,0))),"Buy",INDEX('Inventaire M-1'!$A$2:$AZ$9320,MATCH(B521,'Inventaire M-1'!$A:$A,0)-1,MATCH("poids",'Inventaire M-1'!#REF!,0))))</f>
        <v/>
      </c>
      <c r="M521" s="175"/>
      <c r="N521" s="157" t="str">
        <f t="shared" si="55"/>
        <v>0</v>
      </c>
      <c r="O521" s="98" t="str">
        <f t="shared" si="54"/>
        <v/>
      </c>
      <c r="P521" s="80" t="str">
        <f t="shared" si="56"/>
        <v>-</v>
      </c>
      <c r="Q521" s="75">
        <v>4.9700000000000002E-8</v>
      </c>
      <c r="R521" s="175" t="str">
        <f>IF(OR('Inventaire M-1'!D273="Dispo/Liquidité Investie",'Inventaire M-1'!D273="Option/Future",'Inventaire M-1'!D273="TCN",'Inventaire M-1'!D273=""),"-",'Inventaire M-1'!A273)</f>
        <v>-</v>
      </c>
      <c r="S521" s="175" t="str">
        <f>IF(OR('Inventaire M-1'!D273="Dispo/Liquidité Investie",'Inventaire M-1'!D273="Option/Future",'Inventaire M-1'!D273="TCN",'Inventaire M-1'!D273=""),"-",'Inventaire M-1'!B273)</f>
        <v>-</v>
      </c>
      <c r="T521" s="175"/>
      <c r="U521" s="175" t="str">
        <f>IF(R521="-","",INDEX('Inventaire M-1'!$A$2:$AG$9334,MATCH(R521,'Inventaire M-1'!$A:$A,0)-1,MATCH("Cours EUR",'Inventaire M-1'!#REF!,0)))</f>
        <v/>
      </c>
      <c r="V521" s="175" t="str">
        <f>IF(R521="-","",IF(ISERROR(INDEX('Inventaire M'!$A$2:$AD$9319,MATCH(R521,'Inventaire M'!$A:$A,0)-1,MATCH("Cours EUR",'Inventaire M'!#REF!,0))),"Sell",INDEX('Inventaire M'!$A$2:$AD$9319,MATCH(R521,'Inventaire M'!$A:$A,0)-1,MATCH("Cours EUR",'Inventaire M'!#REF!,0))))</f>
        <v/>
      </c>
      <c r="W521" s="175"/>
      <c r="X521" s="156" t="str">
        <f>IF(R521="-","",INDEX('Inventaire M-1'!$A$2:$AG$9334,MATCH(R521,'Inventaire M-1'!$A:$A,0)-1,MATCH("quantite",'Inventaire M-1'!#REF!,0)))</f>
        <v/>
      </c>
      <c r="Y521" s="156" t="str">
        <f>IF(S521="-","",IF(ISERROR(INDEX('Inventaire M'!$A$2:$AD$9319,MATCH(R521,'Inventaire M'!$A:$A,0)-1,MATCH("quantite",'Inventaire M'!#REF!,0))),"Sell",INDEX('Inventaire M'!$A$2:$AD$9319,MATCH(R521,'Inventaire M'!$A:$A,0)-1,MATCH("quantite",'Inventaire M'!#REF!,0))))</f>
        <v/>
      </c>
      <c r="Z521" s="175"/>
      <c r="AA521" s="155" t="str">
        <f>IF(R521="-","",INDEX('Inventaire M-1'!$A$2:$AG$9334,MATCH(R521,'Inventaire M-1'!$A:$A,0)-1,MATCH("poids",'Inventaire M-1'!#REF!,0)))</f>
        <v/>
      </c>
      <c r="AB521" s="155" t="str">
        <f>IF(R521="-","",IF(ISERROR(INDEX('Inventaire M'!$A$2:$AD$9319,MATCH(R521,'Inventaire M'!$A:$A,0)-1,MATCH("poids",'Inventaire M'!#REF!,0))),"Sell",INDEX('Inventaire M'!$A$2:$AD$9319,MATCH(R521,'Inventaire M'!$A:$A,0)-1,MATCH("poids",'Inventaire M'!#REF!,0))))</f>
        <v/>
      </c>
      <c r="AC521" s="175"/>
      <c r="AD521" s="157" t="str">
        <f t="shared" si="57"/>
        <v>0</v>
      </c>
      <c r="AE521" s="98" t="str">
        <f t="shared" si="58"/>
        <v/>
      </c>
      <c r="AF521" s="80" t="str">
        <f t="shared" si="59"/>
        <v>-</v>
      </c>
    </row>
    <row r="522" spans="2:32" outlineLevel="1">
      <c r="B522" s="175" t="str">
        <f>IF(OR('Inventaire M'!D295="Dispo/Liquidité Investie",'Inventaire M'!D295="Option/Future",'Inventaire M'!D295="TCN",'Inventaire M'!D295=""),"-",'Inventaire M'!A295)</f>
        <v>-</v>
      </c>
      <c r="C522" s="175" t="str">
        <f>IF(OR('Inventaire M'!D295="Dispo/Liquidité Investie",'Inventaire M'!D295="Option/Future",'Inventaire M'!D295="TCN",'Inventaire M'!D295=""),"-",'Inventaire M'!B295)</f>
        <v>-</v>
      </c>
      <c r="D522" s="175"/>
      <c r="E522" s="175" t="str">
        <f>IF(B522="-","",INDEX('Inventaire M'!$A$2:$AW$9305,MATCH(B522,'Inventaire M'!$A:$A,0)-1,MATCH("Cours EUR",'Inventaire M'!#REF!,0)))</f>
        <v/>
      </c>
      <c r="F522" s="175" t="str">
        <f>IF(B522="-","",IF(ISERROR(INDEX('Inventaire M-1'!$A$2:$AZ$9320,MATCH(B522,'Inventaire M-1'!$A:$A,0)-1,MATCH("Cours EUR",'Inventaire M-1'!#REF!,0))),"Buy",INDEX('Inventaire M-1'!$A$2:$AZ$9320,MATCH(B522,'Inventaire M-1'!$A:$A,0)-1,MATCH("Cours EUR",'Inventaire M-1'!#REF!,0))))</f>
        <v/>
      </c>
      <c r="G522" s="175"/>
      <c r="H522" s="156" t="str">
        <f>IF(B522="-","",INDEX('Inventaire M'!$A$2:$AW$9305,MATCH(B522,'Inventaire M'!$A:$A,0)-1,MATCH("quantite",'Inventaire M'!#REF!,0)))</f>
        <v/>
      </c>
      <c r="I522" s="156" t="str">
        <f>IF(C522="-","",IF(ISERROR(INDEX('Inventaire M-1'!$A$2:$AZ$9320,MATCH(B522,'Inventaire M-1'!$A:$A,0)-1,MATCH("quantite",'Inventaire M-1'!#REF!,0))),"Buy",INDEX('Inventaire M-1'!$A$2:$AZ$9320,MATCH(B522,'Inventaire M-1'!$A:$A,0)-1,MATCH("quantite",'Inventaire M-1'!#REF!,0))))</f>
        <v/>
      </c>
      <c r="J522" s="175"/>
      <c r="K522" s="155" t="str">
        <f>IF(B522="-","",INDEX('Inventaire M'!$A$2:$AW$9305,MATCH(B522,'Inventaire M'!$A:$A,0)-1,MATCH("poids",'Inventaire M'!#REF!,0)))</f>
        <v/>
      </c>
      <c r="L522" s="155" t="str">
        <f>IF(B522="-","",IF(ISERROR(INDEX('Inventaire M-1'!$A$2:$AZ$9320,MATCH(B522,'Inventaire M-1'!$A:$A,0)-1,MATCH("poids",'Inventaire M-1'!#REF!,0))),"Buy",INDEX('Inventaire M-1'!$A$2:$AZ$9320,MATCH(B522,'Inventaire M-1'!$A:$A,0)-1,MATCH("poids",'Inventaire M-1'!#REF!,0))))</f>
        <v/>
      </c>
      <c r="M522" s="175"/>
      <c r="N522" s="157" t="str">
        <f t="shared" si="55"/>
        <v>0</v>
      </c>
      <c r="O522" s="98" t="str">
        <f t="shared" si="54"/>
        <v/>
      </c>
      <c r="P522" s="80" t="str">
        <f t="shared" si="56"/>
        <v>-</v>
      </c>
      <c r="Q522" s="75">
        <v>4.9800000000000003E-8</v>
      </c>
      <c r="R522" s="175" t="str">
        <f>IF(OR('Inventaire M-1'!D274="Dispo/Liquidité Investie",'Inventaire M-1'!D274="Option/Future",'Inventaire M-1'!D274="TCN",'Inventaire M-1'!D274=""),"-",'Inventaire M-1'!A274)</f>
        <v>-</v>
      </c>
      <c r="S522" s="175" t="str">
        <f>IF(OR('Inventaire M-1'!D274="Dispo/Liquidité Investie",'Inventaire M-1'!D274="Option/Future",'Inventaire M-1'!D274="TCN",'Inventaire M-1'!D274=""),"-",'Inventaire M-1'!B274)</f>
        <v>-</v>
      </c>
      <c r="T522" s="175"/>
      <c r="U522" s="175" t="str">
        <f>IF(R522="-","",INDEX('Inventaire M-1'!$A$2:$AG$9334,MATCH(R522,'Inventaire M-1'!$A:$A,0)-1,MATCH("Cours EUR",'Inventaire M-1'!#REF!,0)))</f>
        <v/>
      </c>
      <c r="V522" s="175" t="str">
        <f>IF(R522="-","",IF(ISERROR(INDEX('Inventaire M'!$A$2:$AD$9319,MATCH(R522,'Inventaire M'!$A:$A,0)-1,MATCH("Cours EUR",'Inventaire M'!#REF!,0))),"Sell",INDEX('Inventaire M'!$A$2:$AD$9319,MATCH(R522,'Inventaire M'!$A:$A,0)-1,MATCH("Cours EUR",'Inventaire M'!#REF!,0))))</f>
        <v/>
      </c>
      <c r="W522" s="175"/>
      <c r="X522" s="156" t="str">
        <f>IF(R522="-","",INDEX('Inventaire M-1'!$A$2:$AG$9334,MATCH(R522,'Inventaire M-1'!$A:$A,0)-1,MATCH("quantite",'Inventaire M-1'!#REF!,0)))</f>
        <v/>
      </c>
      <c r="Y522" s="156" t="str">
        <f>IF(S522="-","",IF(ISERROR(INDEX('Inventaire M'!$A$2:$AD$9319,MATCH(R522,'Inventaire M'!$A:$A,0)-1,MATCH("quantite",'Inventaire M'!#REF!,0))),"Sell",INDEX('Inventaire M'!$A$2:$AD$9319,MATCH(R522,'Inventaire M'!$A:$A,0)-1,MATCH("quantite",'Inventaire M'!#REF!,0))))</f>
        <v/>
      </c>
      <c r="Z522" s="175"/>
      <c r="AA522" s="155" t="str">
        <f>IF(R522="-","",INDEX('Inventaire M-1'!$A$2:$AG$9334,MATCH(R522,'Inventaire M-1'!$A:$A,0)-1,MATCH("poids",'Inventaire M-1'!#REF!,0)))</f>
        <v/>
      </c>
      <c r="AB522" s="155" t="str">
        <f>IF(R522="-","",IF(ISERROR(INDEX('Inventaire M'!$A$2:$AD$9319,MATCH(R522,'Inventaire M'!$A:$A,0)-1,MATCH("poids",'Inventaire M'!#REF!,0))),"Sell",INDEX('Inventaire M'!$A$2:$AD$9319,MATCH(R522,'Inventaire M'!$A:$A,0)-1,MATCH("poids",'Inventaire M'!#REF!,0))))</f>
        <v/>
      </c>
      <c r="AC522" s="175"/>
      <c r="AD522" s="157" t="str">
        <f t="shared" si="57"/>
        <v>0</v>
      </c>
      <c r="AE522" s="98" t="str">
        <f t="shared" si="58"/>
        <v/>
      </c>
      <c r="AF522" s="80" t="str">
        <f t="shared" si="59"/>
        <v>-</v>
      </c>
    </row>
    <row r="523" spans="2:32" outlineLevel="1">
      <c r="B523" s="175" t="str">
        <f>IF(OR('Inventaire M'!D296="Dispo/Liquidité Investie",'Inventaire M'!D296="Option/Future",'Inventaire M'!D296="TCN",'Inventaire M'!D296=""),"-",'Inventaire M'!A296)</f>
        <v>-</v>
      </c>
      <c r="C523" s="175" t="str">
        <f>IF(OR('Inventaire M'!D296="Dispo/Liquidité Investie",'Inventaire M'!D296="Option/Future",'Inventaire M'!D296="TCN",'Inventaire M'!D296=""),"-",'Inventaire M'!B296)</f>
        <v>-</v>
      </c>
      <c r="D523" s="175"/>
      <c r="E523" s="175" t="str">
        <f>IF(B523="-","",INDEX('Inventaire M'!$A$2:$AW$9305,MATCH(B523,'Inventaire M'!$A:$A,0)-1,MATCH("Cours EUR",'Inventaire M'!#REF!,0)))</f>
        <v/>
      </c>
      <c r="F523" s="175" t="str">
        <f>IF(B523="-","",IF(ISERROR(INDEX('Inventaire M-1'!$A$2:$AZ$9320,MATCH(B523,'Inventaire M-1'!$A:$A,0)-1,MATCH("Cours EUR",'Inventaire M-1'!#REF!,0))),"Buy",INDEX('Inventaire M-1'!$A$2:$AZ$9320,MATCH(B523,'Inventaire M-1'!$A:$A,0)-1,MATCH("Cours EUR",'Inventaire M-1'!#REF!,0))))</f>
        <v/>
      </c>
      <c r="G523" s="175"/>
      <c r="H523" s="156" t="str">
        <f>IF(B523="-","",INDEX('Inventaire M'!$A$2:$AW$9305,MATCH(B523,'Inventaire M'!$A:$A,0)-1,MATCH("quantite",'Inventaire M'!#REF!,0)))</f>
        <v/>
      </c>
      <c r="I523" s="156" t="str">
        <f>IF(C523="-","",IF(ISERROR(INDEX('Inventaire M-1'!$A$2:$AZ$9320,MATCH(B523,'Inventaire M-1'!$A:$A,0)-1,MATCH("quantite",'Inventaire M-1'!#REF!,0))),"Buy",INDEX('Inventaire M-1'!$A$2:$AZ$9320,MATCH(B523,'Inventaire M-1'!$A:$A,0)-1,MATCH("quantite",'Inventaire M-1'!#REF!,0))))</f>
        <v/>
      </c>
      <c r="J523" s="175"/>
      <c r="K523" s="155" t="str">
        <f>IF(B523="-","",INDEX('Inventaire M'!$A$2:$AW$9305,MATCH(B523,'Inventaire M'!$A:$A,0)-1,MATCH("poids",'Inventaire M'!#REF!,0)))</f>
        <v/>
      </c>
      <c r="L523" s="155" t="str">
        <f>IF(B523="-","",IF(ISERROR(INDEX('Inventaire M-1'!$A$2:$AZ$9320,MATCH(B523,'Inventaire M-1'!$A:$A,0)-1,MATCH("poids",'Inventaire M-1'!#REF!,0))),"Buy",INDEX('Inventaire M-1'!$A$2:$AZ$9320,MATCH(B523,'Inventaire M-1'!$A:$A,0)-1,MATCH("poids",'Inventaire M-1'!#REF!,0))))</f>
        <v/>
      </c>
      <c r="M523" s="175"/>
      <c r="N523" s="157" t="str">
        <f t="shared" si="55"/>
        <v>0</v>
      </c>
      <c r="O523" s="98" t="str">
        <f t="shared" si="54"/>
        <v/>
      </c>
      <c r="P523" s="80" t="str">
        <f t="shared" si="56"/>
        <v>-</v>
      </c>
      <c r="Q523" s="75">
        <v>4.9899999999999997E-8</v>
      </c>
      <c r="R523" s="175" t="str">
        <f>IF(OR('Inventaire M-1'!D275="Dispo/Liquidité Investie",'Inventaire M-1'!D275="Option/Future",'Inventaire M-1'!D275="TCN",'Inventaire M-1'!D275=""),"-",'Inventaire M-1'!A275)</f>
        <v>-</v>
      </c>
      <c r="S523" s="175" t="str">
        <f>IF(OR('Inventaire M-1'!D275="Dispo/Liquidité Investie",'Inventaire M-1'!D275="Option/Future",'Inventaire M-1'!D275="TCN",'Inventaire M-1'!D275=""),"-",'Inventaire M-1'!B275)</f>
        <v>-</v>
      </c>
      <c r="T523" s="175"/>
      <c r="U523" s="175" t="str">
        <f>IF(R523="-","",INDEX('Inventaire M-1'!$A$2:$AG$9334,MATCH(R523,'Inventaire M-1'!$A:$A,0)-1,MATCH("Cours EUR",'Inventaire M-1'!#REF!,0)))</f>
        <v/>
      </c>
      <c r="V523" s="175" t="str">
        <f>IF(R523="-","",IF(ISERROR(INDEX('Inventaire M'!$A$2:$AD$9319,MATCH(R523,'Inventaire M'!$A:$A,0)-1,MATCH("Cours EUR",'Inventaire M'!#REF!,0))),"Sell",INDEX('Inventaire M'!$A$2:$AD$9319,MATCH(R523,'Inventaire M'!$A:$A,0)-1,MATCH("Cours EUR",'Inventaire M'!#REF!,0))))</f>
        <v/>
      </c>
      <c r="W523" s="175"/>
      <c r="X523" s="156" t="str">
        <f>IF(R523="-","",INDEX('Inventaire M-1'!$A$2:$AG$9334,MATCH(R523,'Inventaire M-1'!$A:$A,0)-1,MATCH("quantite",'Inventaire M-1'!#REF!,0)))</f>
        <v/>
      </c>
      <c r="Y523" s="156" t="str">
        <f>IF(S523="-","",IF(ISERROR(INDEX('Inventaire M'!$A$2:$AD$9319,MATCH(R523,'Inventaire M'!$A:$A,0)-1,MATCH("quantite",'Inventaire M'!#REF!,0))),"Sell",INDEX('Inventaire M'!$A$2:$AD$9319,MATCH(R523,'Inventaire M'!$A:$A,0)-1,MATCH("quantite",'Inventaire M'!#REF!,0))))</f>
        <v/>
      </c>
      <c r="Z523" s="175"/>
      <c r="AA523" s="155" t="str">
        <f>IF(R523="-","",INDEX('Inventaire M-1'!$A$2:$AG$9334,MATCH(R523,'Inventaire M-1'!$A:$A,0)-1,MATCH("poids",'Inventaire M-1'!#REF!,0)))</f>
        <v/>
      </c>
      <c r="AB523" s="155" t="str">
        <f>IF(R523="-","",IF(ISERROR(INDEX('Inventaire M'!$A$2:$AD$9319,MATCH(R523,'Inventaire M'!$A:$A,0)-1,MATCH("poids",'Inventaire M'!#REF!,0))),"Sell",INDEX('Inventaire M'!$A$2:$AD$9319,MATCH(R523,'Inventaire M'!$A:$A,0)-1,MATCH("poids",'Inventaire M'!#REF!,0))))</f>
        <v/>
      </c>
      <c r="AC523" s="175"/>
      <c r="AD523" s="157" t="str">
        <f t="shared" si="57"/>
        <v>0</v>
      </c>
      <c r="AE523" s="98" t="str">
        <f t="shared" si="58"/>
        <v/>
      </c>
      <c r="AF523" s="80" t="str">
        <f t="shared" si="59"/>
        <v>-</v>
      </c>
    </row>
    <row r="524" spans="2:32" outlineLevel="1">
      <c r="B524" s="175" t="str">
        <f>IF(OR('Inventaire M'!D297="Dispo/Liquidité Investie",'Inventaire M'!D297="Option/Future",'Inventaire M'!D297="TCN",'Inventaire M'!D297=""),"-",'Inventaire M'!A297)</f>
        <v>-</v>
      </c>
      <c r="C524" s="175" t="str">
        <f>IF(OR('Inventaire M'!D297="Dispo/Liquidité Investie",'Inventaire M'!D297="Option/Future",'Inventaire M'!D297="TCN",'Inventaire M'!D297=""),"-",'Inventaire M'!B297)</f>
        <v>-</v>
      </c>
      <c r="D524" s="175"/>
      <c r="E524" s="175" t="str">
        <f>IF(B524="-","",INDEX('Inventaire M'!$A$2:$AW$9305,MATCH(B524,'Inventaire M'!$A:$A,0)-1,MATCH("Cours EUR",'Inventaire M'!#REF!,0)))</f>
        <v/>
      </c>
      <c r="F524" s="175" t="str">
        <f>IF(B524="-","",IF(ISERROR(INDEX('Inventaire M-1'!$A$2:$AZ$9320,MATCH(B524,'Inventaire M-1'!$A:$A,0)-1,MATCH("Cours EUR",'Inventaire M-1'!#REF!,0))),"Buy",INDEX('Inventaire M-1'!$A$2:$AZ$9320,MATCH(B524,'Inventaire M-1'!$A:$A,0)-1,MATCH("Cours EUR",'Inventaire M-1'!#REF!,0))))</f>
        <v/>
      </c>
      <c r="G524" s="175"/>
      <c r="H524" s="156" t="str">
        <f>IF(B524="-","",INDEX('Inventaire M'!$A$2:$AW$9305,MATCH(B524,'Inventaire M'!$A:$A,0)-1,MATCH("quantite",'Inventaire M'!#REF!,0)))</f>
        <v/>
      </c>
      <c r="I524" s="156" t="str">
        <f>IF(C524="-","",IF(ISERROR(INDEX('Inventaire M-1'!$A$2:$AZ$9320,MATCH(B524,'Inventaire M-1'!$A:$A,0)-1,MATCH("quantite",'Inventaire M-1'!#REF!,0))),"Buy",INDEX('Inventaire M-1'!$A$2:$AZ$9320,MATCH(B524,'Inventaire M-1'!$A:$A,0)-1,MATCH("quantite",'Inventaire M-1'!#REF!,0))))</f>
        <v/>
      </c>
      <c r="J524" s="175"/>
      <c r="K524" s="155" t="str">
        <f>IF(B524="-","",INDEX('Inventaire M'!$A$2:$AW$9305,MATCH(B524,'Inventaire M'!$A:$A,0)-1,MATCH("poids",'Inventaire M'!#REF!,0)))</f>
        <v/>
      </c>
      <c r="L524" s="155" t="str">
        <f>IF(B524="-","",IF(ISERROR(INDEX('Inventaire M-1'!$A$2:$AZ$9320,MATCH(B524,'Inventaire M-1'!$A:$A,0)-1,MATCH("poids",'Inventaire M-1'!#REF!,0))),"Buy",INDEX('Inventaire M-1'!$A$2:$AZ$9320,MATCH(B524,'Inventaire M-1'!$A:$A,0)-1,MATCH("poids",'Inventaire M-1'!#REF!,0))))</f>
        <v/>
      </c>
      <c r="M524" s="175"/>
      <c r="N524" s="157" t="str">
        <f t="shared" si="55"/>
        <v>0</v>
      </c>
      <c r="O524" s="98" t="str">
        <f t="shared" si="54"/>
        <v/>
      </c>
      <c r="P524" s="80" t="str">
        <f t="shared" si="56"/>
        <v>-</v>
      </c>
      <c r="Q524" s="75">
        <v>4.9999999999999998E-8</v>
      </c>
      <c r="R524" s="175" t="str">
        <f>IF(OR('Inventaire M-1'!D276="Dispo/Liquidité Investie",'Inventaire M-1'!D276="Option/Future",'Inventaire M-1'!D276="TCN",'Inventaire M-1'!D276=""),"-",'Inventaire M-1'!A276)</f>
        <v>-</v>
      </c>
      <c r="S524" s="175" t="str">
        <f>IF(OR('Inventaire M-1'!D276="Dispo/Liquidité Investie",'Inventaire M-1'!D276="Option/Future",'Inventaire M-1'!D276="TCN",'Inventaire M-1'!D276=""),"-",'Inventaire M-1'!B276)</f>
        <v>-</v>
      </c>
      <c r="T524" s="175"/>
      <c r="U524" s="175" t="str">
        <f>IF(R524="-","",INDEX('Inventaire M-1'!$A$2:$AG$9334,MATCH(R524,'Inventaire M-1'!$A:$A,0)-1,MATCH("Cours EUR",'Inventaire M-1'!#REF!,0)))</f>
        <v/>
      </c>
      <c r="V524" s="175" t="str">
        <f>IF(R524="-","",IF(ISERROR(INDEX('Inventaire M'!$A$2:$AD$9319,MATCH(R524,'Inventaire M'!$A:$A,0)-1,MATCH("Cours EUR",'Inventaire M'!#REF!,0))),"Sell",INDEX('Inventaire M'!$A$2:$AD$9319,MATCH(R524,'Inventaire M'!$A:$A,0)-1,MATCH("Cours EUR",'Inventaire M'!#REF!,0))))</f>
        <v/>
      </c>
      <c r="W524" s="175"/>
      <c r="X524" s="156" t="str">
        <f>IF(R524="-","",INDEX('Inventaire M-1'!$A$2:$AG$9334,MATCH(R524,'Inventaire M-1'!$A:$A,0)-1,MATCH("quantite",'Inventaire M-1'!#REF!,0)))</f>
        <v/>
      </c>
      <c r="Y524" s="156" t="str">
        <f>IF(S524="-","",IF(ISERROR(INDEX('Inventaire M'!$A$2:$AD$9319,MATCH(R524,'Inventaire M'!$A:$A,0)-1,MATCH("quantite",'Inventaire M'!#REF!,0))),"Sell",INDEX('Inventaire M'!$A$2:$AD$9319,MATCH(R524,'Inventaire M'!$A:$A,0)-1,MATCH("quantite",'Inventaire M'!#REF!,0))))</f>
        <v/>
      </c>
      <c r="Z524" s="175"/>
      <c r="AA524" s="155" t="str">
        <f>IF(R524="-","",INDEX('Inventaire M-1'!$A$2:$AG$9334,MATCH(R524,'Inventaire M-1'!$A:$A,0)-1,MATCH("poids",'Inventaire M-1'!#REF!,0)))</f>
        <v/>
      </c>
      <c r="AB524" s="155" t="str">
        <f>IF(R524="-","",IF(ISERROR(INDEX('Inventaire M'!$A$2:$AD$9319,MATCH(R524,'Inventaire M'!$A:$A,0)-1,MATCH("poids",'Inventaire M'!#REF!,0))),"Sell",INDEX('Inventaire M'!$A$2:$AD$9319,MATCH(R524,'Inventaire M'!$A:$A,0)-1,MATCH("poids",'Inventaire M'!#REF!,0))))</f>
        <v/>
      </c>
      <c r="AC524" s="175"/>
      <c r="AD524" s="157" t="str">
        <f t="shared" si="57"/>
        <v>0</v>
      </c>
      <c r="AE524" s="98" t="str">
        <f t="shared" si="58"/>
        <v/>
      </c>
      <c r="AF524" s="80" t="str">
        <f t="shared" si="59"/>
        <v>-</v>
      </c>
    </row>
    <row r="525" spans="2:32" outlineLevel="1">
      <c r="B525" s="175" t="str">
        <f>IF(OR('Inventaire M'!D298="Dispo/Liquidité Investie",'Inventaire M'!D298="Option/Future",'Inventaire M'!D298="TCN",'Inventaire M'!D298=""),"-",'Inventaire M'!A298)</f>
        <v>-</v>
      </c>
      <c r="C525" s="175" t="str">
        <f>IF(OR('Inventaire M'!D298="Dispo/Liquidité Investie",'Inventaire M'!D298="Option/Future",'Inventaire M'!D298="TCN",'Inventaire M'!D298=""),"-",'Inventaire M'!B298)</f>
        <v>-</v>
      </c>
      <c r="D525" s="175"/>
      <c r="E525" s="175" t="str">
        <f>IF(B525="-","",INDEX('Inventaire M'!$A$2:$AW$9305,MATCH(B525,'Inventaire M'!$A:$A,0)-1,MATCH("Cours EUR",'Inventaire M'!#REF!,0)))</f>
        <v/>
      </c>
      <c r="F525" s="175" t="str">
        <f>IF(B525="-","",IF(ISERROR(INDEX('Inventaire M-1'!$A$2:$AZ$9320,MATCH(B525,'Inventaire M-1'!$A:$A,0)-1,MATCH("Cours EUR",'Inventaire M-1'!#REF!,0))),"Buy",INDEX('Inventaire M-1'!$A$2:$AZ$9320,MATCH(B525,'Inventaire M-1'!$A:$A,0)-1,MATCH("Cours EUR",'Inventaire M-1'!#REF!,0))))</f>
        <v/>
      </c>
      <c r="G525" s="175"/>
      <c r="H525" s="156" t="str">
        <f>IF(B525="-","",INDEX('Inventaire M'!$A$2:$AW$9305,MATCH(B525,'Inventaire M'!$A:$A,0)-1,MATCH("quantite",'Inventaire M'!#REF!,0)))</f>
        <v/>
      </c>
      <c r="I525" s="156" t="str">
        <f>IF(C525="-","",IF(ISERROR(INDEX('Inventaire M-1'!$A$2:$AZ$9320,MATCH(B525,'Inventaire M-1'!$A:$A,0)-1,MATCH("quantite",'Inventaire M-1'!#REF!,0))),"Buy",INDEX('Inventaire M-1'!$A$2:$AZ$9320,MATCH(B525,'Inventaire M-1'!$A:$A,0)-1,MATCH("quantite",'Inventaire M-1'!#REF!,0))))</f>
        <v/>
      </c>
      <c r="J525" s="175"/>
      <c r="K525" s="155" t="str">
        <f>IF(B525="-","",INDEX('Inventaire M'!$A$2:$AW$9305,MATCH(B525,'Inventaire M'!$A:$A,0)-1,MATCH("poids",'Inventaire M'!#REF!,0)))</f>
        <v/>
      </c>
      <c r="L525" s="155" t="str">
        <f>IF(B525="-","",IF(ISERROR(INDEX('Inventaire M-1'!$A$2:$AZ$9320,MATCH(B525,'Inventaire M-1'!$A:$A,0)-1,MATCH("poids",'Inventaire M-1'!#REF!,0))),"Buy",INDEX('Inventaire M-1'!$A$2:$AZ$9320,MATCH(B525,'Inventaire M-1'!$A:$A,0)-1,MATCH("poids",'Inventaire M-1'!#REF!,0))))</f>
        <v/>
      </c>
      <c r="M525" s="175"/>
      <c r="N525" s="157" t="str">
        <f t="shared" si="55"/>
        <v>0</v>
      </c>
      <c r="O525" s="98" t="str">
        <f t="shared" si="54"/>
        <v/>
      </c>
      <c r="P525" s="80" t="str">
        <f t="shared" si="56"/>
        <v>-</v>
      </c>
      <c r="Q525" s="75">
        <v>5.0099999999999999E-8</v>
      </c>
      <c r="R525" s="175" t="str">
        <f>IF(OR('Inventaire M-1'!D277="Dispo/Liquidité Investie",'Inventaire M-1'!D277="Option/Future",'Inventaire M-1'!D277="TCN",'Inventaire M-1'!D277=""),"-",'Inventaire M-1'!A277)</f>
        <v>-</v>
      </c>
      <c r="S525" s="175" t="str">
        <f>IF(OR('Inventaire M-1'!D277="Dispo/Liquidité Investie",'Inventaire M-1'!D277="Option/Future",'Inventaire M-1'!D277="TCN",'Inventaire M-1'!D277=""),"-",'Inventaire M-1'!B277)</f>
        <v>-</v>
      </c>
      <c r="T525" s="175"/>
      <c r="U525" s="175" t="str">
        <f>IF(R525="-","",INDEX('Inventaire M-1'!$A$2:$AG$9334,MATCH(R525,'Inventaire M-1'!$A:$A,0)-1,MATCH("Cours EUR",'Inventaire M-1'!#REF!,0)))</f>
        <v/>
      </c>
      <c r="V525" s="175" t="str">
        <f>IF(R525="-","",IF(ISERROR(INDEX('Inventaire M'!$A$2:$AD$9319,MATCH(R525,'Inventaire M'!$A:$A,0)-1,MATCH("Cours EUR",'Inventaire M'!#REF!,0))),"Sell",INDEX('Inventaire M'!$A$2:$AD$9319,MATCH(R525,'Inventaire M'!$A:$A,0)-1,MATCH("Cours EUR",'Inventaire M'!#REF!,0))))</f>
        <v/>
      </c>
      <c r="W525" s="175"/>
      <c r="X525" s="156" t="str">
        <f>IF(R525="-","",INDEX('Inventaire M-1'!$A$2:$AG$9334,MATCH(R525,'Inventaire M-1'!$A:$A,0)-1,MATCH("quantite",'Inventaire M-1'!#REF!,0)))</f>
        <v/>
      </c>
      <c r="Y525" s="156" t="str">
        <f>IF(S525="-","",IF(ISERROR(INDEX('Inventaire M'!$A$2:$AD$9319,MATCH(R525,'Inventaire M'!$A:$A,0)-1,MATCH("quantite",'Inventaire M'!#REF!,0))),"Sell",INDEX('Inventaire M'!$A$2:$AD$9319,MATCH(R525,'Inventaire M'!$A:$A,0)-1,MATCH("quantite",'Inventaire M'!#REF!,0))))</f>
        <v/>
      </c>
      <c r="Z525" s="175"/>
      <c r="AA525" s="155" t="str">
        <f>IF(R525="-","",INDEX('Inventaire M-1'!$A$2:$AG$9334,MATCH(R525,'Inventaire M-1'!$A:$A,0)-1,MATCH("poids",'Inventaire M-1'!#REF!,0)))</f>
        <v/>
      </c>
      <c r="AB525" s="155" t="str">
        <f>IF(R525="-","",IF(ISERROR(INDEX('Inventaire M'!$A$2:$AD$9319,MATCH(R525,'Inventaire M'!$A:$A,0)-1,MATCH("poids",'Inventaire M'!#REF!,0))),"Sell",INDEX('Inventaire M'!$A$2:$AD$9319,MATCH(R525,'Inventaire M'!$A:$A,0)-1,MATCH("poids",'Inventaire M'!#REF!,0))))</f>
        <v/>
      </c>
      <c r="AC525" s="175"/>
      <c r="AD525" s="157" t="str">
        <f t="shared" si="57"/>
        <v>0</v>
      </c>
      <c r="AE525" s="98" t="str">
        <f t="shared" si="58"/>
        <v/>
      </c>
      <c r="AF525" s="80" t="str">
        <f t="shared" si="59"/>
        <v>-</v>
      </c>
    </row>
    <row r="526" spans="2:32" outlineLevel="1">
      <c r="B526" s="175" t="str">
        <f>IF(OR('Inventaire M'!D299="Dispo/Liquidité Investie",'Inventaire M'!D299="Option/Future",'Inventaire M'!D299="TCN",'Inventaire M'!D299=""),"-",'Inventaire M'!A299)</f>
        <v>-</v>
      </c>
      <c r="C526" s="175" t="str">
        <f>IF(OR('Inventaire M'!D299="Dispo/Liquidité Investie",'Inventaire M'!D299="Option/Future",'Inventaire M'!D299="TCN",'Inventaire M'!D299=""),"-",'Inventaire M'!B299)</f>
        <v>-</v>
      </c>
      <c r="D526" s="175"/>
      <c r="E526" s="175" t="str">
        <f>IF(B526="-","",INDEX('Inventaire M'!$A$2:$AW$9305,MATCH(B526,'Inventaire M'!$A:$A,0)-1,MATCH("Cours EUR",'Inventaire M'!#REF!,0)))</f>
        <v/>
      </c>
      <c r="F526" s="175" t="str">
        <f>IF(B526="-","",IF(ISERROR(INDEX('Inventaire M-1'!$A$2:$AZ$9320,MATCH(B526,'Inventaire M-1'!$A:$A,0)-1,MATCH("Cours EUR",'Inventaire M-1'!#REF!,0))),"Buy",INDEX('Inventaire M-1'!$A$2:$AZ$9320,MATCH(B526,'Inventaire M-1'!$A:$A,0)-1,MATCH("Cours EUR",'Inventaire M-1'!#REF!,0))))</f>
        <v/>
      </c>
      <c r="G526" s="175"/>
      <c r="H526" s="156" t="str">
        <f>IF(B526="-","",INDEX('Inventaire M'!$A$2:$AW$9305,MATCH(B526,'Inventaire M'!$A:$A,0)-1,MATCH("quantite",'Inventaire M'!#REF!,0)))</f>
        <v/>
      </c>
      <c r="I526" s="156" t="str">
        <f>IF(C526="-","",IF(ISERROR(INDEX('Inventaire M-1'!$A$2:$AZ$9320,MATCH(B526,'Inventaire M-1'!$A:$A,0)-1,MATCH("quantite",'Inventaire M-1'!#REF!,0))),"Buy",INDEX('Inventaire M-1'!$A$2:$AZ$9320,MATCH(B526,'Inventaire M-1'!$A:$A,0)-1,MATCH("quantite",'Inventaire M-1'!#REF!,0))))</f>
        <v/>
      </c>
      <c r="J526" s="175"/>
      <c r="K526" s="155" t="str">
        <f>IF(B526="-","",INDEX('Inventaire M'!$A$2:$AW$9305,MATCH(B526,'Inventaire M'!$A:$A,0)-1,MATCH("poids",'Inventaire M'!#REF!,0)))</f>
        <v/>
      </c>
      <c r="L526" s="155" t="str">
        <f>IF(B526="-","",IF(ISERROR(INDEX('Inventaire M-1'!$A$2:$AZ$9320,MATCH(B526,'Inventaire M-1'!$A:$A,0)-1,MATCH("poids",'Inventaire M-1'!#REF!,0))),"Buy",INDEX('Inventaire M-1'!$A$2:$AZ$9320,MATCH(B526,'Inventaire M-1'!$A:$A,0)-1,MATCH("poids",'Inventaire M-1'!#REF!,0))))</f>
        <v/>
      </c>
      <c r="M526" s="175"/>
      <c r="N526" s="157" t="str">
        <f t="shared" si="55"/>
        <v>0</v>
      </c>
      <c r="O526" s="98" t="str">
        <f t="shared" si="54"/>
        <v/>
      </c>
      <c r="P526" s="80" t="str">
        <f t="shared" si="56"/>
        <v>-</v>
      </c>
      <c r="Q526" s="75">
        <v>5.02E-8</v>
      </c>
      <c r="R526" s="175" t="str">
        <f>IF(OR('Inventaire M-1'!D278="Dispo/Liquidité Investie",'Inventaire M-1'!D278="Option/Future",'Inventaire M-1'!D278="TCN",'Inventaire M-1'!D278=""),"-",'Inventaire M-1'!A278)</f>
        <v>-</v>
      </c>
      <c r="S526" s="175" t="str">
        <f>IF(OR('Inventaire M-1'!D278="Dispo/Liquidité Investie",'Inventaire M-1'!D278="Option/Future",'Inventaire M-1'!D278="TCN",'Inventaire M-1'!D278=""),"-",'Inventaire M-1'!B278)</f>
        <v>-</v>
      </c>
      <c r="T526" s="175"/>
      <c r="U526" s="175" t="str">
        <f>IF(R526="-","",INDEX('Inventaire M-1'!$A$2:$AG$9334,MATCH(R526,'Inventaire M-1'!$A:$A,0)-1,MATCH("Cours EUR",'Inventaire M-1'!#REF!,0)))</f>
        <v/>
      </c>
      <c r="V526" s="175" t="str">
        <f>IF(R526="-","",IF(ISERROR(INDEX('Inventaire M'!$A$2:$AD$9319,MATCH(R526,'Inventaire M'!$A:$A,0)-1,MATCH("Cours EUR",'Inventaire M'!#REF!,0))),"Sell",INDEX('Inventaire M'!$A$2:$AD$9319,MATCH(R526,'Inventaire M'!$A:$A,0)-1,MATCH("Cours EUR",'Inventaire M'!#REF!,0))))</f>
        <v/>
      </c>
      <c r="W526" s="175"/>
      <c r="X526" s="156" t="str">
        <f>IF(R526="-","",INDEX('Inventaire M-1'!$A$2:$AG$9334,MATCH(R526,'Inventaire M-1'!$A:$A,0)-1,MATCH("quantite",'Inventaire M-1'!#REF!,0)))</f>
        <v/>
      </c>
      <c r="Y526" s="156" t="str">
        <f>IF(S526="-","",IF(ISERROR(INDEX('Inventaire M'!$A$2:$AD$9319,MATCH(R526,'Inventaire M'!$A:$A,0)-1,MATCH("quantite",'Inventaire M'!#REF!,0))),"Sell",INDEX('Inventaire M'!$A$2:$AD$9319,MATCH(R526,'Inventaire M'!$A:$A,0)-1,MATCH("quantite",'Inventaire M'!#REF!,0))))</f>
        <v/>
      </c>
      <c r="Z526" s="175"/>
      <c r="AA526" s="155" t="str">
        <f>IF(R526="-","",INDEX('Inventaire M-1'!$A$2:$AG$9334,MATCH(R526,'Inventaire M-1'!$A:$A,0)-1,MATCH("poids",'Inventaire M-1'!#REF!,0)))</f>
        <v/>
      </c>
      <c r="AB526" s="155" t="str">
        <f>IF(R526="-","",IF(ISERROR(INDEX('Inventaire M'!$A$2:$AD$9319,MATCH(R526,'Inventaire M'!$A:$A,0)-1,MATCH("poids",'Inventaire M'!#REF!,0))),"Sell",INDEX('Inventaire M'!$A$2:$AD$9319,MATCH(R526,'Inventaire M'!$A:$A,0)-1,MATCH("poids",'Inventaire M'!#REF!,0))))</f>
        <v/>
      </c>
      <c r="AC526" s="175"/>
      <c r="AD526" s="157" t="str">
        <f t="shared" si="57"/>
        <v>0</v>
      </c>
      <c r="AE526" s="98" t="str">
        <f t="shared" si="58"/>
        <v/>
      </c>
      <c r="AF526" s="80" t="str">
        <f t="shared" si="59"/>
        <v>-</v>
      </c>
    </row>
    <row r="527" spans="2:32" outlineLevel="1">
      <c r="B527" s="175" t="str">
        <f>IF(OR('Inventaire M'!D300="Dispo/Liquidité Investie",'Inventaire M'!D300="Option/Future",'Inventaire M'!D300="TCN",'Inventaire M'!D300=""),"-",'Inventaire M'!A300)</f>
        <v>-</v>
      </c>
      <c r="C527" s="175" t="str">
        <f>IF(OR('Inventaire M'!D300="Dispo/Liquidité Investie",'Inventaire M'!D300="Option/Future",'Inventaire M'!D300="TCN",'Inventaire M'!D300=""),"-",'Inventaire M'!B300)</f>
        <v>-</v>
      </c>
      <c r="D527" s="175"/>
      <c r="E527" s="175" t="str">
        <f>IF(B527="-","",INDEX('Inventaire M'!$A$2:$AW$9305,MATCH(B527,'Inventaire M'!$A:$A,0)-1,MATCH("Cours EUR",'Inventaire M'!#REF!,0)))</f>
        <v/>
      </c>
      <c r="F527" s="175" t="str">
        <f>IF(B527="-","",IF(ISERROR(INDEX('Inventaire M-1'!$A$2:$AZ$9320,MATCH(B527,'Inventaire M-1'!$A:$A,0)-1,MATCH("Cours EUR",'Inventaire M-1'!#REF!,0))),"Buy",INDEX('Inventaire M-1'!$A$2:$AZ$9320,MATCH(B527,'Inventaire M-1'!$A:$A,0)-1,MATCH("Cours EUR",'Inventaire M-1'!#REF!,0))))</f>
        <v/>
      </c>
      <c r="G527" s="175"/>
      <c r="H527" s="156" t="str">
        <f>IF(B527="-","",INDEX('Inventaire M'!$A$2:$AW$9305,MATCH(B527,'Inventaire M'!$A:$A,0)-1,MATCH("quantite",'Inventaire M'!#REF!,0)))</f>
        <v/>
      </c>
      <c r="I527" s="156" t="str">
        <f>IF(C527="-","",IF(ISERROR(INDEX('Inventaire M-1'!$A$2:$AZ$9320,MATCH(B527,'Inventaire M-1'!$A:$A,0)-1,MATCH("quantite",'Inventaire M-1'!#REF!,0))),"Buy",INDEX('Inventaire M-1'!$A$2:$AZ$9320,MATCH(B527,'Inventaire M-1'!$A:$A,0)-1,MATCH("quantite",'Inventaire M-1'!#REF!,0))))</f>
        <v/>
      </c>
      <c r="J527" s="175"/>
      <c r="K527" s="155" t="str">
        <f>IF(B527="-","",INDEX('Inventaire M'!$A$2:$AW$9305,MATCH(B527,'Inventaire M'!$A:$A,0)-1,MATCH("poids",'Inventaire M'!#REF!,0)))</f>
        <v/>
      </c>
      <c r="L527" s="155" t="str">
        <f>IF(B527="-","",IF(ISERROR(INDEX('Inventaire M-1'!$A$2:$AZ$9320,MATCH(B527,'Inventaire M-1'!$A:$A,0)-1,MATCH("poids",'Inventaire M-1'!#REF!,0))),"Buy",INDEX('Inventaire M-1'!$A$2:$AZ$9320,MATCH(B527,'Inventaire M-1'!$A:$A,0)-1,MATCH("poids",'Inventaire M-1'!#REF!,0))))</f>
        <v/>
      </c>
      <c r="M527" s="175"/>
      <c r="N527" s="157" t="str">
        <f t="shared" si="55"/>
        <v>0</v>
      </c>
      <c r="O527" s="98" t="str">
        <f t="shared" si="54"/>
        <v/>
      </c>
      <c r="P527" s="80" t="str">
        <f t="shared" si="56"/>
        <v>-</v>
      </c>
      <c r="Q527" s="75">
        <v>5.03E-8</v>
      </c>
      <c r="R527" s="175" t="str">
        <f>IF(OR('Inventaire M-1'!D279="Dispo/Liquidité Investie",'Inventaire M-1'!D279="Option/Future",'Inventaire M-1'!D279="TCN",'Inventaire M-1'!D279=""),"-",'Inventaire M-1'!A279)</f>
        <v>-</v>
      </c>
      <c r="S527" s="175" t="str">
        <f>IF(OR('Inventaire M-1'!D279="Dispo/Liquidité Investie",'Inventaire M-1'!D279="Option/Future",'Inventaire M-1'!D279="TCN",'Inventaire M-1'!D279=""),"-",'Inventaire M-1'!B279)</f>
        <v>-</v>
      </c>
      <c r="T527" s="175"/>
      <c r="U527" s="175" t="str">
        <f>IF(R527="-","",INDEX('Inventaire M-1'!$A$2:$AG$9334,MATCH(R527,'Inventaire M-1'!$A:$A,0)-1,MATCH("Cours EUR",'Inventaire M-1'!#REF!,0)))</f>
        <v/>
      </c>
      <c r="V527" s="175" t="str">
        <f>IF(R527="-","",IF(ISERROR(INDEX('Inventaire M'!$A$2:$AD$9319,MATCH(R527,'Inventaire M'!$A:$A,0)-1,MATCH("Cours EUR",'Inventaire M'!#REF!,0))),"Sell",INDEX('Inventaire M'!$A$2:$AD$9319,MATCH(R527,'Inventaire M'!$A:$A,0)-1,MATCH("Cours EUR",'Inventaire M'!#REF!,0))))</f>
        <v/>
      </c>
      <c r="W527" s="175"/>
      <c r="X527" s="156" t="str">
        <f>IF(R527="-","",INDEX('Inventaire M-1'!$A$2:$AG$9334,MATCH(R527,'Inventaire M-1'!$A:$A,0)-1,MATCH("quantite",'Inventaire M-1'!#REF!,0)))</f>
        <v/>
      </c>
      <c r="Y527" s="156" t="str">
        <f>IF(S527="-","",IF(ISERROR(INDEX('Inventaire M'!$A$2:$AD$9319,MATCH(R527,'Inventaire M'!$A:$A,0)-1,MATCH("quantite",'Inventaire M'!#REF!,0))),"Sell",INDEX('Inventaire M'!$A$2:$AD$9319,MATCH(R527,'Inventaire M'!$A:$A,0)-1,MATCH("quantite",'Inventaire M'!#REF!,0))))</f>
        <v/>
      </c>
      <c r="Z527" s="175"/>
      <c r="AA527" s="155" t="str">
        <f>IF(R527="-","",INDEX('Inventaire M-1'!$A$2:$AG$9334,MATCH(R527,'Inventaire M-1'!$A:$A,0)-1,MATCH("poids",'Inventaire M-1'!#REF!,0)))</f>
        <v/>
      </c>
      <c r="AB527" s="155" t="str">
        <f>IF(R527="-","",IF(ISERROR(INDEX('Inventaire M'!$A$2:$AD$9319,MATCH(R527,'Inventaire M'!$A:$A,0)-1,MATCH("poids",'Inventaire M'!#REF!,0))),"Sell",INDEX('Inventaire M'!$A$2:$AD$9319,MATCH(R527,'Inventaire M'!$A:$A,0)-1,MATCH("poids",'Inventaire M'!#REF!,0))))</f>
        <v/>
      </c>
      <c r="AC527" s="175"/>
      <c r="AD527" s="157" t="str">
        <f t="shared" si="57"/>
        <v>0</v>
      </c>
      <c r="AE527" s="98" t="str">
        <f t="shared" si="58"/>
        <v/>
      </c>
      <c r="AF527" s="80" t="str">
        <f t="shared" si="59"/>
        <v>-</v>
      </c>
    </row>
    <row r="528" spans="2:32" outlineLevel="1">
      <c r="B528" s="175" t="str">
        <f>IF(OR('Inventaire M'!D301="Dispo/Liquidité Investie",'Inventaire M'!D301="Option/Future",'Inventaire M'!D301="TCN",'Inventaire M'!D301=""),"-",'Inventaire M'!A301)</f>
        <v>-</v>
      </c>
      <c r="C528" s="175" t="str">
        <f>IF(OR('Inventaire M'!D301="Dispo/Liquidité Investie",'Inventaire M'!D301="Option/Future",'Inventaire M'!D301="TCN",'Inventaire M'!D301=""),"-",'Inventaire M'!B301)</f>
        <v>-</v>
      </c>
      <c r="D528" s="175"/>
      <c r="E528" s="175" t="str">
        <f>IF(B528="-","",INDEX('Inventaire M'!$A$2:$AW$9305,MATCH(B528,'Inventaire M'!$A:$A,0)-1,MATCH("Cours EUR",'Inventaire M'!#REF!,0)))</f>
        <v/>
      </c>
      <c r="F528" s="175" t="str">
        <f>IF(B528="-","",IF(ISERROR(INDEX('Inventaire M-1'!$A$2:$AZ$9320,MATCH(B528,'Inventaire M-1'!$A:$A,0)-1,MATCH("Cours EUR",'Inventaire M-1'!#REF!,0))),"Buy",INDEX('Inventaire M-1'!$A$2:$AZ$9320,MATCH(B528,'Inventaire M-1'!$A:$A,0)-1,MATCH("Cours EUR",'Inventaire M-1'!#REF!,0))))</f>
        <v/>
      </c>
      <c r="G528" s="175"/>
      <c r="H528" s="156" t="str">
        <f>IF(B528="-","",INDEX('Inventaire M'!$A$2:$AW$9305,MATCH(B528,'Inventaire M'!$A:$A,0)-1,MATCH("quantite",'Inventaire M'!#REF!,0)))</f>
        <v/>
      </c>
      <c r="I528" s="156" t="str">
        <f>IF(C528="-","",IF(ISERROR(INDEX('Inventaire M-1'!$A$2:$AZ$9320,MATCH(B528,'Inventaire M-1'!$A:$A,0)-1,MATCH("quantite",'Inventaire M-1'!#REF!,0))),"Buy",INDEX('Inventaire M-1'!$A$2:$AZ$9320,MATCH(B528,'Inventaire M-1'!$A:$A,0)-1,MATCH("quantite",'Inventaire M-1'!#REF!,0))))</f>
        <v/>
      </c>
      <c r="J528" s="175"/>
      <c r="K528" s="155" t="str">
        <f>IF(B528="-","",INDEX('Inventaire M'!$A$2:$AW$9305,MATCH(B528,'Inventaire M'!$A:$A,0)-1,MATCH("poids",'Inventaire M'!#REF!,0)))</f>
        <v/>
      </c>
      <c r="L528" s="155" t="str">
        <f>IF(B528="-","",IF(ISERROR(INDEX('Inventaire M-1'!$A$2:$AZ$9320,MATCH(B528,'Inventaire M-1'!$A:$A,0)-1,MATCH("poids",'Inventaire M-1'!#REF!,0))),"Buy",INDEX('Inventaire M-1'!$A$2:$AZ$9320,MATCH(B528,'Inventaire M-1'!$A:$A,0)-1,MATCH("poids",'Inventaire M-1'!#REF!,0))))</f>
        <v/>
      </c>
      <c r="M528" s="175"/>
      <c r="N528" s="157" t="str">
        <f t="shared" si="55"/>
        <v>0</v>
      </c>
      <c r="O528" s="98" t="str">
        <f t="shared" si="54"/>
        <v/>
      </c>
      <c r="P528" s="80" t="str">
        <f t="shared" si="56"/>
        <v>-</v>
      </c>
      <c r="Q528" s="75">
        <v>5.0400000000000001E-8</v>
      </c>
      <c r="R528" s="175" t="str">
        <f>IF(OR('Inventaire M-1'!D280="Dispo/Liquidité Investie",'Inventaire M-1'!D280="Option/Future",'Inventaire M-1'!D280="TCN",'Inventaire M-1'!D280=""),"-",'Inventaire M-1'!A280)</f>
        <v>-</v>
      </c>
      <c r="S528" s="175" t="str">
        <f>IF(OR('Inventaire M-1'!D280="Dispo/Liquidité Investie",'Inventaire M-1'!D280="Option/Future",'Inventaire M-1'!D280="TCN",'Inventaire M-1'!D280=""),"-",'Inventaire M-1'!B280)</f>
        <v>-</v>
      </c>
      <c r="T528" s="175"/>
      <c r="U528" s="175" t="str">
        <f>IF(R528="-","",INDEX('Inventaire M-1'!$A$2:$AG$9334,MATCH(R528,'Inventaire M-1'!$A:$A,0)-1,MATCH("Cours EUR",'Inventaire M-1'!#REF!,0)))</f>
        <v/>
      </c>
      <c r="V528" s="175" t="str">
        <f>IF(R528="-","",IF(ISERROR(INDEX('Inventaire M'!$A$2:$AD$9319,MATCH(R528,'Inventaire M'!$A:$A,0)-1,MATCH("Cours EUR",'Inventaire M'!#REF!,0))),"Sell",INDEX('Inventaire M'!$A$2:$AD$9319,MATCH(R528,'Inventaire M'!$A:$A,0)-1,MATCH("Cours EUR",'Inventaire M'!#REF!,0))))</f>
        <v/>
      </c>
      <c r="W528" s="175"/>
      <c r="X528" s="156" t="str">
        <f>IF(R528="-","",INDEX('Inventaire M-1'!$A$2:$AG$9334,MATCH(R528,'Inventaire M-1'!$A:$A,0)-1,MATCH("quantite",'Inventaire M-1'!#REF!,0)))</f>
        <v/>
      </c>
      <c r="Y528" s="156" t="str">
        <f>IF(S528="-","",IF(ISERROR(INDEX('Inventaire M'!$A$2:$AD$9319,MATCH(R528,'Inventaire M'!$A:$A,0)-1,MATCH("quantite",'Inventaire M'!#REF!,0))),"Sell",INDEX('Inventaire M'!$A$2:$AD$9319,MATCH(R528,'Inventaire M'!$A:$A,0)-1,MATCH("quantite",'Inventaire M'!#REF!,0))))</f>
        <v/>
      </c>
      <c r="Z528" s="175"/>
      <c r="AA528" s="155" t="str">
        <f>IF(R528="-","",INDEX('Inventaire M-1'!$A$2:$AG$9334,MATCH(R528,'Inventaire M-1'!$A:$A,0)-1,MATCH("poids",'Inventaire M-1'!#REF!,0)))</f>
        <v/>
      </c>
      <c r="AB528" s="155" t="str">
        <f>IF(R528="-","",IF(ISERROR(INDEX('Inventaire M'!$A$2:$AD$9319,MATCH(R528,'Inventaire M'!$A:$A,0)-1,MATCH("poids",'Inventaire M'!#REF!,0))),"Sell",INDEX('Inventaire M'!$A$2:$AD$9319,MATCH(R528,'Inventaire M'!$A:$A,0)-1,MATCH("poids",'Inventaire M'!#REF!,0))))</f>
        <v/>
      </c>
      <c r="AC528" s="175"/>
      <c r="AD528" s="157" t="str">
        <f t="shared" si="57"/>
        <v>0</v>
      </c>
      <c r="AE528" s="98" t="str">
        <f t="shared" si="58"/>
        <v/>
      </c>
      <c r="AF528" s="80" t="str">
        <f t="shared" si="59"/>
        <v>-</v>
      </c>
    </row>
    <row r="529" spans="2:32" outlineLevel="1">
      <c r="B529" s="175" t="str">
        <f>IF(OR('Inventaire M'!D302="Dispo/Liquidité Investie",'Inventaire M'!D302="Option/Future",'Inventaire M'!D302="TCN",'Inventaire M'!D302=""),"-",'Inventaire M'!A302)</f>
        <v>-</v>
      </c>
      <c r="C529" s="175" t="str">
        <f>IF(OR('Inventaire M'!D302="Dispo/Liquidité Investie",'Inventaire M'!D302="Option/Future",'Inventaire M'!D302="TCN",'Inventaire M'!D302=""),"-",'Inventaire M'!B302)</f>
        <v>-</v>
      </c>
      <c r="D529" s="175"/>
      <c r="E529" s="175" t="str">
        <f>IF(B529="-","",INDEX('Inventaire M'!$A$2:$AW$9305,MATCH(B529,'Inventaire M'!$A:$A,0)-1,MATCH("Cours EUR",'Inventaire M'!#REF!,0)))</f>
        <v/>
      </c>
      <c r="F529" s="175" t="str">
        <f>IF(B529="-","",IF(ISERROR(INDEX('Inventaire M-1'!$A$2:$AZ$9320,MATCH(B529,'Inventaire M-1'!$A:$A,0)-1,MATCH("Cours EUR",'Inventaire M-1'!#REF!,0))),"Buy",INDEX('Inventaire M-1'!$A$2:$AZ$9320,MATCH(B529,'Inventaire M-1'!$A:$A,0)-1,MATCH("Cours EUR",'Inventaire M-1'!#REF!,0))))</f>
        <v/>
      </c>
      <c r="G529" s="175"/>
      <c r="H529" s="156" t="str">
        <f>IF(B529="-","",INDEX('Inventaire M'!$A$2:$AW$9305,MATCH(B529,'Inventaire M'!$A:$A,0)-1,MATCH("quantite",'Inventaire M'!#REF!,0)))</f>
        <v/>
      </c>
      <c r="I529" s="156" t="str">
        <f>IF(C529="-","",IF(ISERROR(INDEX('Inventaire M-1'!$A$2:$AZ$9320,MATCH(B529,'Inventaire M-1'!$A:$A,0)-1,MATCH("quantite",'Inventaire M-1'!#REF!,0))),"Buy",INDEX('Inventaire M-1'!$A$2:$AZ$9320,MATCH(B529,'Inventaire M-1'!$A:$A,0)-1,MATCH("quantite",'Inventaire M-1'!#REF!,0))))</f>
        <v/>
      </c>
      <c r="J529" s="175"/>
      <c r="K529" s="155" t="str">
        <f>IF(B529="-","",INDEX('Inventaire M'!$A$2:$AW$9305,MATCH(B529,'Inventaire M'!$A:$A,0)-1,MATCH("poids",'Inventaire M'!#REF!,0)))</f>
        <v/>
      </c>
      <c r="L529" s="155" t="str">
        <f>IF(B529="-","",IF(ISERROR(INDEX('Inventaire M-1'!$A$2:$AZ$9320,MATCH(B529,'Inventaire M-1'!$A:$A,0)-1,MATCH("poids",'Inventaire M-1'!#REF!,0))),"Buy",INDEX('Inventaire M-1'!$A$2:$AZ$9320,MATCH(B529,'Inventaire M-1'!$A:$A,0)-1,MATCH("poids",'Inventaire M-1'!#REF!,0))))</f>
        <v/>
      </c>
      <c r="M529" s="175"/>
      <c r="N529" s="157" t="str">
        <f t="shared" si="55"/>
        <v>0</v>
      </c>
      <c r="O529" s="98" t="str">
        <f t="shared" si="54"/>
        <v/>
      </c>
      <c r="P529" s="80" t="str">
        <f t="shared" si="56"/>
        <v>-</v>
      </c>
      <c r="Q529" s="75">
        <v>5.0500000000000002E-8</v>
      </c>
      <c r="R529" s="175" t="str">
        <f>IF(OR('Inventaire M-1'!D281="Dispo/Liquidité Investie",'Inventaire M-1'!D281="Option/Future",'Inventaire M-1'!D281="TCN",'Inventaire M-1'!D281=""),"-",'Inventaire M-1'!A281)</f>
        <v>-</v>
      </c>
      <c r="S529" s="175" t="str">
        <f>IF(OR('Inventaire M-1'!D281="Dispo/Liquidité Investie",'Inventaire M-1'!D281="Option/Future",'Inventaire M-1'!D281="TCN",'Inventaire M-1'!D281=""),"-",'Inventaire M-1'!B281)</f>
        <v>-</v>
      </c>
      <c r="T529" s="175"/>
      <c r="U529" s="175" t="str">
        <f>IF(R529="-","",INDEX('Inventaire M-1'!$A$2:$AG$9334,MATCH(R529,'Inventaire M-1'!$A:$A,0)-1,MATCH("Cours EUR",'Inventaire M-1'!#REF!,0)))</f>
        <v/>
      </c>
      <c r="V529" s="175" t="str">
        <f>IF(R529="-","",IF(ISERROR(INDEX('Inventaire M'!$A$2:$AD$9319,MATCH(R529,'Inventaire M'!$A:$A,0)-1,MATCH("Cours EUR",'Inventaire M'!#REF!,0))),"Sell",INDEX('Inventaire M'!$A$2:$AD$9319,MATCH(R529,'Inventaire M'!$A:$A,0)-1,MATCH("Cours EUR",'Inventaire M'!#REF!,0))))</f>
        <v/>
      </c>
      <c r="W529" s="175"/>
      <c r="X529" s="156" t="str">
        <f>IF(R529="-","",INDEX('Inventaire M-1'!$A$2:$AG$9334,MATCH(R529,'Inventaire M-1'!$A:$A,0)-1,MATCH("quantite",'Inventaire M-1'!#REF!,0)))</f>
        <v/>
      </c>
      <c r="Y529" s="156" t="str">
        <f>IF(S529="-","",IF(ISERROR(INDEX('Inventaire M'!$A$2:$AD$9319,MATCH(R529,'Inventaire M'!$A:$A,0)-1,MATCH("quantite",'Inventaire M'!#REF!,0))),"Sell",INDEX('Inventaire M'!$A$2:$AD$9319,MATCH(R529,'Inventaire M'!$A:$A,0)-1,MATCH("quantite",'Inventaire M'!#REF!,0))))</f>
        <v/>
      </c>
      <c r="Z529" s="175"/>
      <c r="AA529" s="155" t="str">
        <f>IF(R529="-","",INDEX('Inventaire M-1'!$A$2:$AG$9334,MATCH(R529,'Inventaire M-1'!$A:$A,0)-1,MATCH("poids",'Inventaire M-1'!#REF!,0)))</f>
        <v/>
      </c>
      <c r="AB529" s="155" t="str">
        <f>IF(R529="-","",IF(ISERROR(INDEX('Inventaire M'!$A$2:$AD$9319,MATCH(R529,'Inventaire M'!$A:$A,0)-1,MATCH("poids",'Inventaire M'!#REF!,0))),"Sell",INDEX('Inventaire M'!$A$2:$AD$9319,MATCH(R529,'Inventaire M'!$A:$A,0)-1,MATCH("poids",'Inventaire M'!#REF!,0))))</f>
        <v/>
      </c>
      <c r="AC529" s="175"/>
      <c r="AD529" s="157" t="str">
        <f t="shared" si="57"/>
        <v>0</v>
      </c>
      <c r="AE529" s="98" t="str">
        <f t="shared" si="58"/>
        <v/>
      </c>
      <c r="AF529" s="80" t="str">
        <f t="shared" si="59"/>
        <v>-</v>
      </c>
    </row>
    <row r="530" spans="2:32" outlineLevel="1">
      <c r="B530" s="175" t="str">
        <f>IF(OR('Inventaire M'!D303="Dispo/Liquidité Investie",'Inventaire M'!D303="Option/Future",'Inventaire M'!D303="TCN",'Inventaire M'!D303=""),"-",'Inventaire M'!A303)</f>
        <v>-</v>
      </c>
      <c r="C530" s="175" t="str">
        <f>IF(OR('Inventaire M'!D303="Dispo/Liquidité Investie",'Inventaire M'!D303="Option/Future",'Inventaire M'!D303="TCN",'Inventaire M'!D303=""),"-",'Inventaire M'!B303)</f>
        <v>-</v>
      </c>
      <c r="D530" s="175"/>
      <c r="E530" s="175" t="str">
        <f>IF(B530="-","",INDEX('Inventaire M'!$A$2:$AW$9305,MATCH(B530,'Inventaire M'!$A:$A,0)-1,MATCH("Cours EUR",'Inventaire M'!#REF!,0)))</f>
        <v/>
      </c>
      <c r="F530" s="175" t="str">
        <f>IF(B530="-","",IF(ISERROR(INDEX('Inventaire M-1'!$A$2:$AZ$9320,MATCH(B530,'Inventaire M-1'!$A:$A,0)-1,MATCH("Cours EUR",'Inventaire M-1'!#REF!,0))),"Buy",INDEX('Inventaire M-1'!$A$2:$AZ$9320,MATCH(B530,'Inventaire M-1'!$A:$A,0)-1,MATCH("Cours EUR",'Inventaire M-1'!#REF!,0))))</f>
        <v/>
      </c>
      <c r="G530" s="175"/>
      <c r="H530" s="156" t="str">
        <f>IF(B530="-","",INDEX('Inventaire M'!$A$2:$AW$9305,MATCH(B530,'Inventaire M'!$A:$A,0)-1,MATCH("quantite",'Inventaire M'!#REF!,0)))</f>
        <v/>
      </c>
      <c r="I530" s="156" t="str">
        <f>IF(C530="-","",IF(ISERROR(INDEX('Inventaire M-1'!$A$2:$AZ$9320,MATCH(B530,'Inventaire M-1'!$A:$A,0)-1,MATCH("quantite",'Inventaire M-1'!#REF!,0))),"Buy",INDEX('Inventaire M-1'!$A$2:$AZ$9320,MATCH(B530,'Inventaire M-1'!$A:$A,0)-1,MATCH("quantite",'Inventaire M-1'!#REF!,0))))</f>
        <v/>
      </c>
      <c r="J530" s="175"/>
      <c r="K530" s="155" t="str">
        <f>IF(B530="-","",INDEX('Inventaire M'!$A$2:$AW$9305,MATCH(B530,'Inventaire M'!$A:$A,0)-1,MATCH("poids",'Inventaire M'!#REF!,0)))</f>
        <v/>
      </c>
      <c r="L530" s="155" t="str">
        <f>IF(B530="-","",IF(ISERROR(INDEX('Inventaire M-1'!$A$2:$AZ$9320,MATCH(B530,'Inventaire M-1'!$A:$A,0)-1,MATCH("poids",'Inventaire M-1'!#REF!,0))),"Buy",INDEX('Inventaire M-1'!$A$2:$AZ$9320,MATCH(B530,'Inventaire M-1'!$A:$A,0)-1,MATCH("poids",'Inventaire M-1'!#REF!,0))))</f>
        <v/>
      </c>
      <c r="M530" s="175"/>
      <c r="N530" s="157" t="str">
        <f t="shared" si="55"/>
        <v>0</v>
      </c>
      <c r="O530" s="98" t="str">
        <f t="shared" si="54"/>
        <v/>
      </c>
      <c r="P530" s="80" t="str">
        <f t="shared" si="56"/>
        <v>-</v>
      </c>
      <c r="Q530" s="75">
        <v>5.0600000000000003E-8</v>
      </c>
      <c r="R530" s="175" t="str">
        <f>IF(OR('Inventaire M-1'!D282="Dispo/Liquidité Investie",'Inventaire M-1'!D282="Option/Future",'Inventaire M-1'!D282="TCN",'Inventaire M-1'!D282=""),"-",'Inventaire M-1'!A282)</f>
        <v>-</v>
      </c>
      <c r="S530" s="175" t="str">
        <f>IF(OR('Inventaire M-1'!D282="Dispo/Liquidité Investie",'Inventaire M-1'!D282="Option/Future",'Inventaire M-1'!D282="TCN",'Inventaire M-1'!D282=""),"-",'Inventaire M-1'!B282)</f>
        <v>-</v>
      </c>
      <c r="T530" s="175"/>
      <c r="U530" s="175" t="str">
        <f>IF(R530="-","",INDEX('Inventaire M-1'!$A$2:$AG$9334,MATCH(R530,'Inventaire M-1'!$A:$A,0)-1,MATCH("Cours EUR",'Inventaire M-1'!#REF!,0)))</f>
        <v/>
      </c>
      <c r="V530" s="175" t="str">
        <f>IF(R530="-","",IF(ISERROR(INDEX('Inventaire M'!$A$2:$AD$9319,MATCH(R530,'Inventaire M'!$A:$A,0)-1,MATCH("Cours EUR",'Inventaire M'!#REF!,0))),"Sell",INDEX('Inventaire M'!$A$2:$AD$9319,MATCH(R530,'Inventaire M'!$A:$A,0)-1,MATCH("Cours EUR",'Inventaire M'!#REF!,0))))</f>
        <v/>
      </c>
      <c r="W530" s="175"/>
      <c r="X530" s="156" t="str">
        <f>IF(R530="-","",INDEX('Inventaire M-1'!$A$2:$AG$9334,MATCH(R530,'Inventaire M-1'!$A:$A,0)-1,MATCH("quantite",'Inventaire M-1'!#REF!,0)))</f>
        <v/>
      </c>
      <c r="Y530" s="156" t="str">
        <f>IF(S530="-","",IF(ISERROR(INDEX('Inventaire M'!$A$2:$AD$9319,MATCH(R530,'Inventaire M'!$A:$A,0)-1,MATCH("quantite",'Inventaire M'!#REF!,0))),"Sell",INDEX('Inventaire M'!$A$2:$AD$9319,MATCH(R530,'Inventaire M'!$A:$A,0)-1,MATCH("quantite",'Inventaire M'!#REF!,0))))</f>
        <v/>
      </c>
      <c r="Z530" s="175"/>
      <c r="AA530" s="155" t="str">
        <f>IF(R530="-","",INDEX('Inventaire M-1'!$A$2:$AG$9334,MATCH(R530,'Inventaire M-1'!$A:$A,0)-1,MATCH("poids",'Inventaire M-1'!#REF!,0)))</f>
        <v/>
      </c>
      <c r="AB530" s="155" t="str">
        <f>IF(R530="-","",IF(ISERROR(INDEX('Inventaire M'!$A$2:$AD$9319,MATCH(R530,'Inventaire M'!$A:$A,0)-1,MATCH("poids",'Inventaire M'!#REF!,0))),"Sell",INDEX('Inventaire M'!$A$2:$AD$9319,MATCH(R530,'Inventaire M'!$A:$A,0)-1,MATCH("poids",'Inventaire M'!#REF!,0))))</f>
        <v/>
      </c>
      <c r="AC530" s="175"/>
      <c r="AD530" s="157" t="str">
        <f t="shared" si="57"/>
        <v>0</v>
      </c>
      <c r="AE530" s="98" t="str">
        <f t="shared" si="58"/>
        <v/>
      </c>
      <c r="AF530" s="80" t="str">
        <f t="shared" si="59"/>
        <v>-</v>
      </c>
    </row>
    <row r="531" spans="2:32" outlineLevel="1">
      <c r="B531" s="175" t="str">
        <f>IF(OR('Inventaire M'!D304="Dispo/Liquidité Investie",'Inventaire M'!D304="Option/Future",'Inventaire M'!D304="TCN",'Inventaire M'!D304=""),"-",'Inventaire M'!A304)</f>
        <v>-</v>
      </c>
      <c r="C531" s="175" t="str">
        <f>IF(OR('Inventaire M'!D304="Dispo/Liquidité Investie",'Inventaire M'!D304="Option/Future",'Inventaire M'!D304="TCN",'Inventaire M'!D304=""),"-",'Inventaire M'!B304)</f>
        <v>-</v>
      </c>
      <c r="D531" s="175"/>
      <c r="E531" s="175" t="str">
        <f>IF(B531="-","",INDEX('Inventaire M'!$A$2:$AW$9305,MATCH(B531,'Inventaire M'!$A:$A,0)-1,MATCH("Cours EUR",'Inventaire M'!#REF!,0)))</f>
        <v/>
      </c>
      <c r="F531" s="175" t="str">
        <f>IF(B531="-","",IF(ISERROR(INDEX('Inventaire M-1'!$A$2:$AZ$9320,MATCH(B531,'Inventaire M-1'!$A:$A,0)-1,MATCH("Cours EUR",'Inventaire M-1'!#REF!,0))),"Buy",INDEX('Inventaire M-1'!$A$2:$AZ$9320,MATCH(B531,'Inventaire M-1'!$A:$A,0)-1,MATCH("Cours EUR",'Inventaire M-1'!#REF!,0))))</f>
        <v/>
      </c>
      <c r="G531" s="175"/>
      <c r="H531" s="156" t="str">
        <f>IF(B531="-","",INDEX('Inventaire M'!$A$2:$AW$9305,MATCH(B531,'Inventaire M'!$A:$A,0)-1,MATCH("quantite",'Inventaire M'!#REF!,0)))</f>
        <v/>
      </c>
      <c r="I531" s="156" t="str">
        <f>IF(C531="-","",IF(ISERROR(INDEX('Inventaire M-1'!$A$2:$AZ$9320,MATCH(B531,'Inventaire M-1'!$A:$A,0)-1,MATCH("quantite",'Inventaire M-1'!#REF!,0))),"Buy",INDEX('Inventaire M-1'!$A$2:$AZ$9320,MATCH(B531,'Inventaire M-1'!$A:$A,0)-1,MATCH("quantite",'Inventaire M-1'!#REF!,0))))</f>
        <v/>
      </c>
      <c r="J531" s="175"/>
      <c r="K531" s="155" t="str">
        <f>IF(B531="-","",INDEX('Inventaire M'!$A$2:$AW$9305,MATCH(B531,'Inventaire M'!$A:$A,0)-1,MATCH("poids",'Inventaire M'!#REF!,0)))</f>
        <v/>
      </c>
      <c r="L531" s="155" t="str">
        <f>IF(B531="-","",IF(ISERROR(INDEX('Inventaire M-1'!$A$2:$AZ$9320,MATCH(B531,'Inventaire M-1'!$A:$A,0)-1,MATCH("poids",'Inventaire M-1'!#REF!,0))),"Buy",INDEX('Inventaire M-1'!$A$2:$AZ$9320,MATCH(B531,'Inventaire M-1'!$A:$A,0)-1,MATCH("poids",'Inventaire M-1'!#REF!,0))))</f>
        <v/>
      </c>
      <c r="M531" s="175"/>
      <c r="N531" s="157" t="str">
        <f t="shared" si="55"/>
        <v>0</v>
      </c>
      <c r="O531" s="98" t="str">
        <f t="shared" si="54"/>
        <v/>
      </c>
      <c r="P531" s="80" t="str">
        <f t="shared" si="56"/>
        <v>-</v>
      </c>
      <c r="Q531" s="75">
        <v>5.0699999999999997E-8</v>
      </c>
      <c r="R531" s="175" t="str">
        <f>IF(OR('Inventaire M-1'!D283="Dispo/Liquidité Investie",'Inventaire M-1'!D283="Option/Future",'Inventaire M-1'!D283="TCN",'Inventaire M-1'!D283=""),"-",'Inventaire M-1'!A283)</f>
        <v>-</v>
      </c>
      <c r="S531" s="175" t="str">
        <f>IF(OR('Inventaire M-1'!D283="Dispo/Liquidité Investie",'Inventaire M-1'!D283="Option/Future",'Inventaire M-1'!D283="TCN",'Inventaire M-1'!D283=""),"-",'Inventaire M-1'!B283)</f>
        <v>-</v>
      </c>
      <c r="T531" s="175"/>
      <c r="U531" s="175" t="str">
        <f>IF(R531="-","",INDEX('Inventaire M-1'!$A$2:$AG$9334,MATCH(R531,'Inventaire M-1'!$A:$A,0)-1,MATCH("Cours EUR",'Inventaire M-1'!#REF!,0)))</f>
        <v/>
      </c>
      <c r="V531" s="175" t="str">
        <f>IF(R531="-","",IF(ISERROR(INDEX('Inventaire M'!$A$2:$AD$9319,MATCH(R531,'Inventaire M'!$A:$A,0)-1,MATCH("Cours EUR",'Inventaire M'!#REF!,0))),"Sell",INDEX('Inventaire M'!$A$2:$AD$9319,MATCH(R531,'Inventaire M'!$A:$A,0)-1,MATCH("Cours EUR",'Inventaire M'!#REF!,0))))</f>
        <v/>
      </c>
      <c r="W531" s="175"/>
      <c r="X531" s="156" t="str">
        <f>IF(R531="-","",INDEX('Inventaire M-1'!$A$2:$AG$9334,MATCH(R531,'Inventaire M-1'!$A:$A,0)-1,MATCH("quantite",'Inventaire M-1'!#REF!,0)))</f>
        <v/>
      </c>
      <c r="Y531" s="156" t="str">
        <f>IF(S531="-","",IF(ISERROR(INDEX('Inventaire M'!$A$2:$AD$9319,MATCH(R531,'Inventaire M'!$A:$A,0)-1,MATCH("quantite",'Inventaire M'!#REF!,0))),"Sell",INDEX('Inventaire M'!$A$2:$AD$9319,MATCH(R531,'Inventaire M'!$A:$A,0)-1,MATCH("quantite",'Inventaire M'!#REF!,0))))</f>
        <v/>
      </c>
      <c r="Z531" s="175"/>
      <c r="AA531" s="155" t="str">
        <f>IF(R531="-","",INDEX('Inventaire M-1'!$A$2:$AG$9334,MATCH(R531,'Inventaire M-1'!$A:$A,0)-1,MATCH("poids",'Inventaire M-1'!#REF!,0)))</f>
        <v/>
      </c>
      <c r="AB531" s="155" t="str">
        <f>IF(R531="-","",IF(ISERROR(INDEX('Inventaire M'!$A$2:$AD$9319,MATCH(R531,'Inventaire M'!$A:$A,0)-1,MATCH("poids",'Inventaire M'!#REF!,0))),"Sell",INDEX('Inventaire M'!$A$2:$AD$9319,MATCH(R531,'Inventaire M'!$A:$A,0)-1,MATCH("poids",'Inventaire M'!#REF!,0))))</f>
        <v/>
      </c>
      <c r="AC531" s="175"/>
      <c r="AD531" s="157" t="str">
        <f t="shared" si="57"/>
        <v>0</v>
      </c>
      <c r="AE531" s="98" t="str">
        <f t="shared" si="58"/>
        <v/>
      </c>
      <c r="AF531" s="80" t="str">
        <f t="shared" si="59"/>
        <v>-</v>
      </c>
    </row>
    <row r="532" spans="2:32" outlineLevel="1">
      <c r="B532" s="175" t="str">
        <f>IF(OR('Inventaire M'!D305="Dispo/Liquidité Investie",'Inventaire M'!D305="Option/Future",'Inventaire M'!D305="TCN",'Inventaire M'!D305=""),"-",'Inventaire M'!A305)</f>
        <v>-</v>
      </c>
      <c r="C532" s="175" t="str">
        <f>IF(OR('Inventaire M'!D305="Dispo/Liquidité Investie",'Inventaire M'!D305="Option/Future",'Inventaire M'!D305="TCN",'Inventaire M'!D305=""),"-",'Inventaire M'!B305)</f>
        <v>-</v>
      </c>
      <c r="D532" s="175"/>
      <c r="E532" s="175" t="str">
        <f>IF(B532="-","",INDEX('Inventaire M'!$A$2:$AW$9305,MATCH(B532,'Inventaire M'!$A:$A,0)-1,MATCH("Cours EUR",'Inventaire M'!#REF!,0)))</f>
        <v/>
      </c>
      <c r="F532" s="175" t="str">
        <f>IF(B532="-","",IF(ISERROR(INDEX('Inventaire M-1'!$A$2:$AZ$9320,MATCH(B532,'Inventaire M-1'!$A:$A,0)-1,MATCH("Cours EUR",'Inventaire M-1'!#REF!,0))),"Buy",INDEX('Inventaire M-1'!$A$2:$AZ$9320,MATCH(B532,'Inventaire M-1'!$A:$A,0)-1,MATCH("Cours EUR",'Inventaire M-1'!#REF!,0))))</f>
        <v/>
      </c>
      <c r="G532" s="175"/>
      <c r="H532" s="156" t="str">
        <f>IF(B532="-","",INDEX('Inventaire M'!$A$2:$AW$9305,MATCH(B532,'Inventaire M'!$A:$A,0)-1,MATCH("quantite",'Inventaire M'!#REF!,0)))</f>
        <v/>
      </c>
      <c r="I532" s="156" t="str">
        <f>IF(C532="-","",IF(ISERROR(INDEX('Inventaire M-1'!$A$2:$AZ$9320,MATCH(B532,'Inventaire M-1'!$A:$A,0)-1,MATCH("quantite",'Inventaire M-1'!#REF!,0))),"Buy",INDEX('Inventaire M-1'!$A$2:$AZ$9320,MATCH(B532,'Inventaire M-1'!$A:$A,0)-1,MATCH("quantite",'Inventaire M-1'!#REF!,0))))</f>
        <v/>
      </c>
      <c r="J532" s="175"/>
      <c r="K532" s="155" t="str">
        <f>IF(B532="-","",INDEX('Inventaire M'!$A$2:$AW$9305,MATCH(B532,'Inventaire M'!$A:$A,0)-1,MATCH("poids",'Inventaire M'!#REF!,0)))</f>
        <v/>
      </c>
      <c r="L532" s="155" t="str">
        <f>IF(B532="-","",IF(ISERROR(INDEX('Inventaire M-1'!$A$2:$AZ$9320,MATCH(B532,'Inventaire M-1'!$A:$A,0)-1,MATCH("poids",'Inventaire M-1'!#REF!,0))),"Buy",INDEX('Inventaire M-1'!$A$2:$AZ$9320,MATCH(B532,'Inventaire M-1'!$A:$A,0)-1,MATCH("poids",'Inventaire M-1'!#REF!,0))))</f>
        <v/>
      </c>
      <c r="M532" s="175"/>
      <c r="N532" s="157" t="str">
        <f t="shared" si="55"/>
        <v>0</v>
      </c>
      <c r="O532" s="98" t="str">
        <f t="shared" si="54"/>
        <v/>
      </c>
      <c r="P532" s="80" t="str">
        <f t="shared" si="56"/>
        <v>-</v>
      </c>
      <c r="Q532" s="75">
        <v>5.0799999999999998E-8</v>
      </c>
      <c r="R532" s="175" t="str">
        <f>IF(OR('Inventaire M-1'!D284="Dispo/Liquidité Investie",'Inventaire M-1'!D284="Option/Future",'Inventaire M-1'!D284="TCN",'Inventaire M-1'!D284=""),"-",'Inventaire M-1'!A284)</f>
        <v>-</v>
      </c>
      <c r="S532" s="175" t="str">
        <f>IF(OR('Inventaire M-1'!D284="Dispo/Liquidité Investie",'Inventaire M-1'!D284="Option/Future",'Inventaire M-1'!D284="TCN",'Inventaire M-1'!D284=""),"-",'Inventaire M-1'!B284)</f>
        <v>-</v>
      </c>
      <c r="T532" s="175"/>
      <c r="U532" s="175" t="str">
        <f>IF(R532="-","",INDEX('Inventaire M-1'!$A$2:$AG$9334,MATCH(R532,'Inventaire M-1'!$A:$A,0)-1,MATCH("Cours EUR",'Inventaire M-1'!#REF!,0)))</f>
        <v/>
      </c>
      <c r="V532" s="175" t="str">
        <f>IF(R532="-","",IF(ISERROR(INDEX('Inventaire M'!$A$2:$AD$9319,MATCH(R532,'Inventaire M'!$A:$A,0)-1,MATCH("Cours EUR",'Inventaire M'!#REF!,0))),"Sell",INDEX('Inventaire M'!$A$2:$AD$9319,MATCH(R532,'Inventaire M'!$A:$A,0)-1,MATCH("Cours EUR",'Inventaire M'!#REF!,0))))</f>
        <v/>
      </c>
      <c r="W532" s="175"/>
      <c r="X532" s="156" t="str">
        <f>IF(R532="-","",INDEX('Inventaire M-1'!$A$2:$AG$9334,MATCH(R532,'Inventaire M-1'!$A:$A,0)-1,MATCH("quantite",'Inventaire M-1'!#REF!,0)))</f>
        <v/>
      </c>
      <c r="Y532" s="156" t="str">
        <f>IF(S532="-","",IF(ISERROR(INDEX('Inventaire M'!$A$2:$AD$9319,MATCH(R532,'Inventaire M'!$A:$A,0)-1,MATCH("quantite",'Inventaire M'!#REF!,0))),"Sell",INDEX('Inventaire M'!$A$2:$AD$9319,MATCH(R532,'Inventaire M'!$A:$A,0)-1,MATCH("quantite",'Inventaire M'!#REF!,0))))</f>
        <v/>
      </c>
      <c r="Z532" s="175"/>
      <c r="AA532" s="155" t="str">
        <f>IF(R532="-","",INDEX('Inventaire M-1'!$A$2:$AG$9334,MATCH(R532,'Inventaire M-1'!$A:$A,0)-1,MATCH("poids",'Inventaire M-1'!#REF!,0)))</f>
        <v/>
      </c>
      <c r="AB532" s="155" t="str">
        <f>IF(R532="-","",IF(ISERROR(INDEX('Inventaire M'!$A$2:$AD$9319,MATCH(R532,'Inventaire M'!$A:$A,0)-1,MATCH("poids",'Inventaire M'!#REF!,0))),"Sell",INDEX('Inventaire M'!$A$2:$AD$9319,MATCH(R532,'Inventaire M'!$A:$A,0)-1,MATCH("poids",'Inventaire M'!#REF!,0))))</f>
        <v/>
      </c>
      <c r="AC532" s="175"/>
      <c r="AD532" s="157" t="str">
        <f t="shared" si="57"/>
        <v>0</v>
      </c>
      <c r="AE532" s="98" t="str">
        <f t="shared" si="58"/>
        <v/>
      </c>
      <c r="AF532" s="80" t="str">
        <f t="shared" si="59"/>
        <v>-</v>
      </c>
    </row>
    <row r="533" spans="2:32" outlineLevel="1">
      <c r="B533" s="175" t="str">
        <f>IF(OR('Inventaire M'!D306="Dispo/Liquidité Investie",'Inventaire M'!D306="Option/Future",'Inventaire M'!D306="TCN",'Inventaire M'!D306=""),"-",'Inventaire M'!A306)</f>
        <v>-</v>
      </c>
      <c r="C533" s="175" t="str">
        <f>IF(OR('Inventaire M'!D306="Dispo/Liquidité Investie",'Inventaire M'!D306="Option/Future",'Inventaire M'!D306="TCN",'Inventaire M'!D306=""),"-",'Inventaire M'!B306)</f>
        <v>-</v>
      </c>
      <c r="D533" s="175"/>
      <c r="E533" s="175" t="str">
        <f>IF(B533="-","",INDEX('Inventaire M'!$A$2:$AW$9305,MATCH(B533,'Inventaire M'!$A:$A,0)-1,MATCH("Cours EUR",'Inventaire M'!#REF!,0)))</f>
        <v/>
      </c>
      <c r="F533" s="175" t="str">
        <f>IF(B533="-","",IF(ISERROR(INDEX('Inventaire M-1'!$A$2:$AZ$9320,MATCH(B533,'Inventaire M-1'!$A:$A,0)-1,MATCH("Cours EUR",'Inventaire M-1'!#REF!,0))),"Buy",INDEX('Inventaire M-1'!$A$2:$AZ$9320,MATCH(B533,'Inventaire M-1'!$A:$A,0)-1,MATCH("Cours EUR",'Inventaire M-1'!#REF!,0))))</f>
        <v/>
      </c>
      <c r="G533" s="175"/>
      <c r="H533" s="156" t="str">
        <f>IF(B533="-","",INDEX('Inventaire M'!$A$2:$AW$9305,MATCH(B533,'Inventaire M'!$A:$A,0)-1,MATCH("quantite",'Inventaire M'!#REF!,0)))</f>
        <v/>
      </c>
      <c r="I533" s="156" t="str">
        <f>IF(C533="-","",IF(ISERROR(INDEX('Inventaire M-1'!$A$2:$AZ$9320,MATCH(B533,'Inventaire M-1'!$A:$A,0)-1,MATCH("quantite",'Inventaire M-1'!#REF!,0))),"Buy",INDEX('Inventaire M-1'!$A$2:$AZ$9320,MATCH(B533,'Inventaire M-1'!$A:$A,0)-1,MATCH("quantite",'Inventaire M-1'!#REF!,0))))</f>
        <v/>
      </c>
      <c r="J533" s="175"/>
      <c r="K533" s="155" t="str">
        <f>IF(B533="-","",INDEX('Inventaire M'!$A$2:$AW$9305,MATCH(B533,'Inventaire M'!$A:$A,0)-1,MATCH("poids",'Inventaire M'!#REF!,0)))</f>
        <v/>
      </c>
      <c r="L533" s="155" t="str">
        <f>IF(B533="-","",IF(ISERROR(INDEX('Inventaire M-1'!$A$2:$AZ$9320,MATCH(B533,'Inventaire M-1'!$A:$A,0)-1,MATCH("poids",'Inventaire M-1'!#REF!,0))),"Buy",INDEX('Inventaire M-1'!$A$2:$AZ$9320,MATCH(B533,'Inventaire M-1'!$A:$A,0)-1,MATCH("poids",'Inventaire M-1'!#REF!,0))))</f>
        <v/>
      </c>
      <c r="M533" s="175"/>
      <c r="N533" s="157" t="str">
        <f t="shared" si="55"/>
        <v>0</v>
      </c>
      <c r="O533" s="98" t="str">
        <f t="shared" si="54"/>
        <v/>
      </c>
      <c r="P533" s="80" t="str">
        <f t="shared" si="56"/>
        <v>-</v>
      </c>
      <c r="Q533" s="75">
        <v>5.0899999999999999E-8</v>
      </c>
      <c r="R533" s="175" t="str">
        <f>IF(OR('Inventaire M-1'!D285="Dispo/Liquidité Investie",'Inventaire M-1'!D285="Option/Future",'Inventaire M-1'!D285="TCN",'Inventaire M-1'!D285=""),"-",'Inventaire M-1'!A285)</f>
        <v>-</v>
      </c>
      <c r="S533" s="175" t="str">
        <f>IF(OR('Inventaire M-1'!D285="Dispo/Liquidité Investie",'Inventaire M-1'!D285="Option/Future",'Inventaire M-1'!D285="TCN",'Inventaire M-1'!D285=""),"-",'Inventaire M-1'!B285)</f>
        <v>-</v>
      </c>
      <c r="T533" s="175"/>
      <c r="U533" s="175" t="str">
        <f>IF(R533="-","",INDEX('Inventaire M-1'!$A$2:$AG$9334,MATCH(R533,'Inventaire M-1'!$A:$A,0)-1,MATCH("Cours EUR",'Inventaire M-1'!#REF!,0)))</f>
        <v/>
      </c>
      <c r="V533" s="175" t="str">
        <f>IF(R533="-","",IF(ISERROR(INDEX('Inventaire M'!$A$2:$AD$9319,MATCH(R533,'Inventaire M'!$A:$A,0)-1,MATCH("Cours EUR",'Inventaire M'!#REF!,0))),"Sell",INDEX('Inventaire M'!$A$2:$AD$9319,MATCH(R533,'Inventaire M'!$A:$A,0)-1,MATCH("Cours EUR",'Inventaire M'!#REF!,0))))</f>
        <v/>
      </c>
      <c r="W533" s="175"/>
      <c r="X533" s="156" t="str">
        <f>IF(R533="-","",INDEX('Inventaire M-1'!$A$2:$AG$9334,MATCH(R533,'Inventaire M-1'!$A:$A,0)-1,MATCH("quantite",'Inventaire M-1'!#REF!,0)))</f>
        <v/>
      </c>
      <c r="Y533" s="156" t="str">
        <f>IF(S533="-","",IF(ISERROR(INDEX('Inventaire M'!$A$2:$AD$9319,MATCH(R533,'Inventaire M'!$A:$A,0)-1,MATCH("quantite",'Inventaire M'!#REF!,0))),"Sell",INDEX('Inventaire M'!$A$2:$AD$9319,MATCH(R533,'Inventaire M'!$A:$A,0)-1,MATCH("quantite",'Inventaire M'!#REF!,0))))</f>
        <v/>
      </c>
      <c r="Z533" s="175"/>
      <c r="AA533" s="155" t="str">
        <f>IF(R533="-","",INDEX('Inventaire M-1'!$A$2:$AG$9334,MATCH(R533,'Inventaire M-1'!$A:$A,0)-1,MATCH("poids",'Inventaire M-1'!#REF!,0)))</f>
        <v/>
      </c>
      <c r="AB533" s="155" t="str">
        <f>IF(R533="-","",IF(ISERROR(INDEX('Inventaire M'!$A$2:$AD$9319,MATCH(R533,'Inventaire M'!$A:$A,0)-1,MATCH("poids",'Inventaire M'!#REF!,0))),"Sell",INDEX('Inventaire M'!$A$2:$AD$9319,MATCH(R533,'Inventaire M'!$A:$A,0)-1,MATCH("poids",'Inventaire M'!#REF!,0))))</f>
        <v/>
      </c>
      <c r="AC533" s="175"/>
      <c r="AD533" s="157" t="str">
        <f t="shared" si="57"/>
        <v>0</v>
      </c>
      <c r="AE533" s="98" t="str">
        <f t="shared" si="58"/>
        <v/>
      </c>
      <c r="AF533" s="80" t="str">
        <f t="shared" si="59"/>
        <v>-</v>
      </c>
    </row>
    <row r="534" spans="2:32" outlineLevel="1">
      <c r="B534" s="175" t="str">
        <f>IF(OR('Inventaire M'!D307="Dispo/Liquidité Investie",'Inventaire M'!D307="Option/Future",'Inventaire M'!D307="TCN",'Inventaire M'!D307=""),"-",'Inventaire M'!A307)</f>
        <v>-</v>
      </c>
      <c r="C534" s="175" t="str">
        <f>IF(OR('Inventaire M'!D307="Dispo/Liquidité Investie",'Inventaire M'!D307="Option/Future",'Inventaire M'!D307="TCN",'Inventaire M'!D307=""),"-",'Inventaire M'!B307)</f>
        <v>-</v>
      </c>
      <c r="D534" s="175"/>
      <c r="E534" s="175" t="str">
        <f>IF(B534="-","",INDEX('Inventaire M'!$A$2:$AW$9305,MATCH(B534,'Inventaire M'!$A:$A,0)-1,MATCH("Cours EUR",'Inventaire M'!#REF!,0)))</f>
        <v/>
      </c>
      <c r="F534" s="175" t="str">
        <f>IF(B534="-","",IF(ISERROR(INDEX('Inventaire M-1'!$A$2:$AZ$9320,MATCH(B534,'Inventaire M-1'!$A:$A,0)-1,MATCH("Cours EUR",'Inventaire M-1'!#REF!,0))),"Buy",INDEX('Inventaire M-1'!$A$2:$AZ$9320,MATCH(B534,'Inventaire M-1'!$A:$A,0)-1,MATCH("Cours EUR",'Inventaire M-1'!#REF!,0))))</f>
        <v/>
      </c>
      <c r="G534" s="175"/>
      <c r="H534" s="156" t="str">
        <f>IF(B534="-","",INDEX('Inventaire M'!$A$2:$AW$9305,MATCH(B534,'Inventaire M'!$A:$A,0)-1,MATCH("quantite",'Inventaire M'!#REF!,0)))</f>
        <v/>
      </c>
      <c r="I534" s="156" t="str">
        <f>IF(C534="-","",IF(ISERROR(INDEX('Inventaire M-1'!$A$2:$AZ$9320,MATCH(B534,'Inventaire M-1'!$A:$A,0)-1,MATCH("quantite",'Inventaire M-1'!#REF!,0))),"Buy",INDEX('Inventaire M-1'!$A$2:$AZ$9320,MATCH(B534,'Inventaire M-1'!$A:$A,0)-1,MATCH("quantite",'Inventaire M-1'!#REF!,0))))</f>
        <v/>
      </c>
      <c r="J534" s="175"/>
      <c r="K534" s="155" t="str">
        <f>IF(B534="-","",INDEX('Inventaire M'!$A$2:$AW$9305,MATCH(B534,'Inventaire M'!$A:$A,0)-1,MATCH("poids",'Inventaire M'!#REF!,0)))</f>
        <v/>
      </c>
      <c r="L534" s="155" t="str">
        <f>IF(B534="-","",IF(ISERROR(INDEX('Inventaire M-1'!$A$2:$AZ$9320,MATCH(B534,'Inventaire M-1'!$A:$A,0)-1,MATCH("poids",'Inventaire M-1'!#REF!,0))),"Buy",INDEX('Inventaire M-1'!$A$2:$AZ$9320,MATCH(B534,'Inventaire M-1'!$A:$A,0)-1,MATCH("poids",'Inventaire M-1'!#REF!,0))))</f>
        <v/>
      </c>
      <c r="M534" s="175"/>
      <c r="N534" s="157" t="str">
        <f t="shared" si="55"/>
        <v>0</v>
      </c>
      <c r="O534" s="98" t="str">
        <f t="shared" si="54"/>
        <v/>
      </c>
      <c r="P534" s="80" t="str">
        <f t="shared" si="56"/>
        <v>-</v>
      </c>
      <c r="Q534" s="75">
        <v>5.1E-8</v>
      </c>
      <c r="R534" s="175" t="str">
        <f>IF(OR('Inventaire M-1'!D286="Dispo/Liquidité Investie",'Inventaire M-1'!D286="Option/Future",'Inventaire M-1'!D286="TCN",'Inventaire M-1'!D286=""),"-",'Inventaire M-1'!A286)</f>
        <v>-</v>
      </c>
      <c r="S534" s="175" t="str">
        <f>IF(OR('Inventaire M-1'!D286="Dispo/Liquidité Investie",'Inventaire M-1'!D286="Option/Future",'Inventaire M-1'!D286="TCN",'Inventaire M-1'!D286=""),"-",'Inventaire M-1'!B286)</f>
        <v>-</v>
      </c>
      <c r="T534" s="175"/>
      <c r="U534" s="175" t="str">
        <f>IF(R534="-","",INDEX('Inventaire M-1'!$A$2:$AG$9334,MATCH(R534,'Inventaire M-1'!$A:$A,0)-1,MATCH("Cours EUR",'Inventaire M-1'!#REF!,0)))</f>
        <v/>
      </c>
      <c r="V534" s="175" t="str">
        <f>IF(R534="-","",IF(ISERROR(INDEX('Inventaire M'!$A$2:$AD$9319,MATCH(R534,'Inventaire M'!$A:$A,0)-1,MATCH("Cours EUR",'Inventaire M'!#REF!,0))),"Sell",INDEX('Inventaire M'!$A$2:$AD$9319,MATCH(R534,'Inventaire M'!$A:$A,0)-1,MATCH("Cours EUR",'Inventaire M'!#REF!,0))))</f>
        <v/>
      </c>
      <c r="W534" s="175"/>
      <c r="X534" s="156" t="str">
        <f>IF(R534="-","",INDEX('Inventaire M-1'!$A$2:$AG$9334,MATCH(R534,'Inventaire M-1'!$A:$A,0)-1,MATCH("quantite",'Inventaire M-1'!#REF!,0)))</f>
        <v/>
      </c>
      <c r="Y534" s="156" t="str">
        <f>IF(S534="-","",IF(ISERROR(INDEX('Inventaire M'!$A$2:$AD$9319,MATCH(R534,'Inventaire M'!$A:$A,0)-1,MATCH("quantite",'Inventaire M'!#REF!,0))),"Sell",INDEX('Inventaire M'!$A$2:$AD$9319,MATCH(R534,'Inventaire M'!$A:$A,0)-1,MATCH("quantite",'Inventaire M'!#REF!,0))))</f>
        <v/>
      </c>
      <c r="Z534" s="175"/>
      <c r="AA534" s="155" t="str">
        <f>IF(R534="-","",INDEX('Inventaire M-1'!$A$2:$AG$9334,MATCH(R534,'Inventaire M-1'!$A:$A,0)-1,MATCH("poids",'Inventaire M-1'!#REF!,0)))</f>
        <v/>
      </c>
      <c r="AB534" s="155" t="str">
        <f>IF(R534="-","",IF(ISERROR(INDEX('Inventaire M'!$A$2:$AD$9319,MATCH(R534,'Inventaire M'!$A:$A,0)-1,MATCH("poids",'Inventaire M'!#REF!,0))),"Sell",INDEX('Inventaire M'!$A$2:$AD$9319,MATCH(R534,'Inventaire M'!$A:$A,0)-1,MATCH("poids",'Inventaire M'!#REF!,0))))</f>
        <v/>
      </c>
      <c r="AC534" s="175"/>
      <c r="AD534" s="157" t="str">
        <f t="shared" si="57"/>
        <v>0</v>
      </c>
      <c r="AE534" s="98" t="str">
        <f t="shared" si="58"/>
        <v/>
      </c>
      <c r="AF534" s="80" t="str">
        <f t="shared" si="59"/>
        <v>-</v>
      </c>
    </row>
    <row r="535" spans="2:32" outlineLevel="1">
      <c r="B535" s="175" t="str">
        <f>IF(OR('Inventaire M'!D308="Dispo/Liquidité Investie",'Inventaire M'!D308="Option/Future",'Inventaire M'!D308="TCN",'Inventaire M'!D308=""),"-",'Inventaire M'!A308)</f>
        <v>-</v>
      </c>
      <c r="C535" s="175" t="str">
        <f>IF(OR('Inventaire M'!D308="Dispo/Liquidité Investie",'Inventaire M'!D308="Option/Future",'Inventaire M'!D308="TCN",'Inventaire M'!D308=""),"-",'Inventaire M'!B308)</f>
        <v>-</v>
      </c>
      <c r="D535" s="175"/>
      <c r="E535" s="175" t="str">
        <f>IF(B535="-","",INDEX('Inventaire M'!$A$2:$AW$9305,MATCH(B535,'Inventaire M'!$A:$A,0)-1,MATCH("Cours EUR",'Inventaire M'!#REF!,0)))</f>
        <v/>
      </c>
      <c r="F535" s="175" t="str">
        <f>IF(B535="-","",IF(ISERROR(INDEX('Inventaire M-1'!$A$2:$AZ$9320,MATCH(B535,'Inventaire M-1'!$A:$A,0)-1,MATCH("Cours EUR",'Inventaire M-1'!#REF!,0))),"Buy",INDEX('Inventaire M-1'!$A$2:$AZ$9320,MATCH(B535,'Inventaire M-1'!$A:$A,0)-1,MATCH("Cours EUR",'Inventaire M-1'!#REF!,0))))</f>
        <v/>
      </c>
      <c r="G535" s="175"/>
      <c r="H535" s="156" t="str">
        <f>IF(B535="-","",INDEX('Inventaire M'!$A$2:$AW$9305,MATCH(B535,'Inventaire M'!$A:$A,0)-1,MATCH("quantite",'Inventaire M'!#REF!,0)))</f>
        <v/>
      </c>
      <c r="I535" s="156" t="str">
        <f>IF(C535="-","",IF(ISERROR(INDEX('Inventaire M-1'!$A$2:$AZ$9320,MATCH(B535,'Inventaire M-1'!$A:$A,0)-1,MATCH("quantite",'Inventaire M-1'!#REF!,0))),"Buy",INDEX('Inventaire M-1'!$A$2:$AZ$9320,MATCH(B535,'Inventaire M-1'!$A:$A,0)-1,MATCH("quantite",'Inventaire M-1'!#REF!,0))))</f>
        <v/>
      </c>
      <c r="J535" s="175"/>
      <c r="K535" s="155" t="str">
        <f>IF(B535="-","",INDEX('Inventaire M'!$A$2:$AW$9305,MATCH(B535,'Inventaire M'!$A:$A,0)-1,MATCH("poids",'Inventaire M'!#REF!,0)))</f>
        <v/>
      </c>
      <c r="L535" s="155" t="str">
        <f>IF(B535="-","",IF(ISERROR(INDEX('Inventaire M-1'!$A$2:$AZ$9320,MATCH(B535,'Inventaire M-1'!$A:$A,0)-1,MATCH("poids",'Inventaire M-1'!#REF!,0))),"Buy",INDEX('Inventaire M-1'!$A$2:$AZ$9320,MATCH(B535,'Inventaire M-1'!$A:$A,0)-1,MATCH("poids",'Inventaire M-1'!#REF!,0))))</f>
        <v/>
      </c>
      <c r="M535" s="175"/>
      <c r="N535" s="157" t="str">
        <f t="shared" si="55"/>
        <v>0</v>
      </c>
      <c r="O535" s="98" t="str">
        <f t="shared" si="54"/>
        <v/>
      </c>
      <c r="P535" s="80" t="str">
        <f t="shared" si="56"/>
        <v>-</v>
      </c>
      <c r="Q535" s="75">
        <v>5.1100000000000001E-8</v>
      </c>
      <c r="R535" s="175" t="str">
        <f>IF(OR('Inventaire M-1'!D287="Dispo/Liquidité Investie",'Inventaire M-1'!D287="Option/Future",'Inventaire M-1'!D287="TCN",'Inventaire M-1'!D287=""),"-",'Inventaire M-1'!A287)</f>
        <v>-</v>
      </c>
      <c r="S535" s="175" t="str">
        <f>IF(OR('Inventaire M-1'!D287="Dispo/Liquidité Investie",'Inventaire M-1'!D287="Option/Future",'Inventaire M-1'!D287="TCN",'Inventaire M-1'!D287=""),"-",'Inventaire M-1'!B287)</f>
        <v>-</v>
      </c>
      <c r="T535" s="175"/>
      <c r="U535" s="175" t="str">
        <f>IF(R535="-","",INDEX('Inventaire M-1'!$A$2:$AG$9334,MATCH(R535,'Inventaire M-1'!$A:$A,0)-1,MATCH("Cours EUR",'Inventaire M-1'!#REF!,0)))</f>
        <v/>
      </c>
      <c r="V535" s="175" t="str">
        <f>IF(R535="-","",IF(ISERROR(INDEX('Inventaire M'!$A$2:$AD$9319,MATCH(R535,'Inventaire M'!$A:$A,0)-1,MATCH("Cours EUR",'Inventaire M'!#REF!,0))),"Sell",INDEX('Inventaire M'!$A$2:$AD$9319,MATCH(R535,'Inventaire M'!$A:$A,0)-1,MATCH("Cours EUR",'Inventaire M'!#REF!,0))))</f>
        <v/>
      </c>
      <c r="W535" s="175"/>
      <c r="X535" s="156" t="str">
        <f>IF(R535="-","",INDEX('Inventaire M-1'!$A$2:$AG$9334,MATCH(R535,'Inventaire M-1'!$A:$A,0)-1,MATCH("quantite",'Inventaire M-1'!#REF!,0)))</f>
        <v/>
      </c>
      <c r="Y535" s="156" t="str">
        <f>IF(S535="-","",IF(ISERROR(INDEX('Inventaire M'!$A$2:$AD$9319,MATCH(R535,'Inventaire M'!$A:$A,0)-1,MATCH("quantite",'Inventaire M'!#REF!,0))),"Sell",INDEX('Inventaire M'!$A$2:$AD$9319,MATCH(R535,'Inventaire M'!$A:$A,0)-1,MATCH("quantite",'Inventaire M'!#REF!,0))))</f>
        <v/>
      </c>
      <c r="Z535" s="175"/>
      <c r="AA535" s="155" t="str">
        <f>IF(R535="-","",INDEX('Inventaire M-1'!$A$2:$AG$9334,MATCH(R535,'Inventaire M-1'!$A:$A,0)-1,MATCH("poids",'Inventaire M-1'!#REF!,0)))</f>
        <v/>
      </c>
      <c r="AB535" s="155" t="str">
        <f>IF(R535="-","",IF(ISERROR(INDEX('Inventaire M'!$A$2:$AD$9319,MATCH(R535,'Inventaire M'!$A:$A,0)-1,MATCH("poids",'Inventaire M'!#REF!,0))),"Sell",INDEX('Inventaire M'!$A$2:$AD$9319,MATCH(R535,'Inventaire M'!$A:$A,0)-1,MATCH("poids",'Inventaire M'!#REF!,0))))</f>
        <v/>
      </c>
      <c r="AC535" s="175"/>
      <c r="AD535" s="157" t="str">
        <f t="shared" si="57"/>
        <v>0</v>
      </c>
      <c r="AE535" s="98" t="str">
        <f t="shared" si="58"/>
        <v/>
      </c>
      <c r="AF535" s="80" t="str">
        <f t="shared" si="59"/>
        <v>-</v>
      </c>
    </row>
    <row r="536" spans="2:32" outlineLevel="1">
      <c r="B536" s="175" t="str">
        <f>IF(OR('Inventaire M'!D309="Dispo/Liquidité Investie",'Inventaire M'!D309="Option/Future",'Inventaire M'!D309="TCN",'Inventaire M'!D309=""),"-",'Inventaire M'!A309)</f>
        <v>-</v>
      </c>
      <c r="C536" s="175" t="str">
        <f>IF(OR('Inventaire M'!D309="Dispo/Liquidité Investie",'Inventaire M'!D309="Option/Future",'Inventaire M'!D309="TCN",'Inventaire M'!D309=""),"-",'Inventaire M'!B309)</f>
        <v>-</v>
      </c>
      <c r="D536" s="175"/>
      <c r="E536" s="175" t="str">
        <f>IF(B536="-","",INDEX('Inventaire M'!$A$2:$AW$9305,MATCH(B536,'Inventaire M'!$A:$A,0)-1,MATCH("Cours EUR",'Inventaire M'!#REF!,0)))</f>
        <v/>
      </c>
      <c r="F536" s="175" t="str">
        <f>IF(B536="-","",IF(ISERROR(INDEX('Inventaire M-1'!$A$2:$AZ$9320,MATCH(B536,'Inventaire M-1'!$A:$A,0)-1,MATCH("Cours EUR",'Inventaire M-1'!#REF!,0))),"Buy",INDEX('Inventaire M-1'!$A$2:$AZ$9320,MATCH(B536,'Inventaire M-1'!$A:$A,0)-1,MATCH("Cours EUR",'Inventaire M-1'!#REF!,0))))</f>
        <v/>
      </c>
      <c r="G536" s="175"/>
      <c r="H536" s="156" t="str">
        <f>IF(B536="-","",INDEX('Inventaire M'!$A$2:$AW$9305,MATCH(B536,'Inventaire M'!$A:$A,0)-1,MATCH("quantite",'Inventaire M'!#REF!,0)))</f>
        <v/>
      </c>
      <c r="I536" s="156" t="str">
        <f>IF(C536="-","",IF(ISERROR(INDEX('Inventaire M-1'!$A$2:$AZ$9320,MATCH(B536,'Inventaire M-1'!$A:$A,0)-1,MATCH("quantite",'Inventaire M-1'!#REF!,0))),"Buy",INDEX('Inventaire M-1'!$A$2:$AZ$9320,MATCH(B536,'Inventaire M-1'!$A:$A,0)-1,MATCH("quantite",'Inventaire M-1'!#REF!,0))))</f>
        <v/>
      </c>
      <c r="J536" s="175"/>
      <c r="K536" s="155" t="str">
        <f>IF(B536="-","",INDEX('Inventaire M'!$A$2:$AW$9305,MATCH(B536,'Inventaire M'!$A:$A,0)-1,MATCH("poids",'Inventaire M'!#REF!,0)))</f>
        <v/>
      </c>
      <c r="L536" s="155" t="str">
        <f>IF(B536="-","",IF(ISERROR(INDEX('Inventaire M-1'!$A$2:$AZ$9320,MATCH(B536,'Inventaire M-1'!$A:$A,0)-1,MATCH("poids",'Inventaire M-1'!#REF!,0))),"Buy",INDEX('Inventaire M-1'!$A$2:$AZ$9320,MATCH(B536,'Inventaire M-1'!$A:$A,0)-1,MATCH("poids",'Inventaire M-1'!#REF!,0))))</f>
        <v/>
      </c>
      <c r="M536" s="175"/>
      <c r="N536" s="157" t="str">
        <f t="shared" si="55"/>
        <v>0</v>
      </c>
      <c r="O536" s="98" t="str">
        <f t="shared" si="54"/>
        <v/>
      </c>
      <c r="P536" s="80" t="str">
        <f t="shared" si="56"/>
        <v>-</v>
      </c>
      <c r="Q536" s="75">
        <v>5.1200000000000002E-8</v>
      </c>
      <c r="R536" s="175" t="str">
        <f>IF(OR('Inventaire M-1'!D288="Dispo/Liquidité Investie",'Inventaire M-1'!D288="Option/Future",'Inventaire M-1'!D288="TCN",'Inventaire M-1'!D288=""),"-",'Inventaire M-1'!A288)</f>
        <v>-</v>
      </c>
      <c r="S536" s="175" t="str">
        <f>IF(OR('Inventaire M-1'!D288="Dispo/Liquidité Investie",'Inventaire M-1'!D288="Option/Future",'Inventaire M-1'!D288="TCN",'Inventaire M-1'!D288=""),"-",'Inventaire M-1'!B288)</f>
        <v>-</v>
      </c>
      <c r="T536" s="175"/>
      <c r="U536" s="175" t="str">
        <f>IF(R536="-","",INDEX('Inventaire M-1'!$A$2:$AG$9334,MATCH(R536,'Inventaire M-1'!$A:$A,0)-1,MATCH("Cours EUR",'Inventaire M-1'!#REF!,0)))</f>
        <v/>
      </c>
      <c r="V536" s="175" t="str">
        <f>IF(R536="-","",IF(ISERROR(INDEX('Inventaire M'!$A$2:$AD$9319,MATCH(R536,'Inventaire M'!$A:$A,0)-1,MATCH("Cours EUR",'Inventaire M'!#REF!,0))),"Sell",INDEX('Inventaire M'!$A$2:$AD$9319,MATCH(R536,'Inventaire M'!$A:$A,0)-1,MATCH("Cours EUR",'Inventaire M'!#REF!,0))))</f>
        <v/>
      </c>
      <c r="W536" s="175"/>
      <c r="X536" s="156" t="str">
        <f>IF(R536="-","",INDEX('Inventaire M-1'!$A$2:$AG$9334,MATCH(R536,'Inventaire M-1'!$A:$A,0)-1,MATCH("quantite",'Inventaire M-1'!#REF!,0)))</f>
        <v/>
      </c>
      <c r="Y536" s="156" t="str">
        <f>IF(S536="-","",IF(ISERROR(INDEX('Inventaire M'!$A$2:$AD$9319,MATCH(R536,'Inventaire M'!$A:$A,0)-1,MATCH("quantite",'Inventaire M'!#REF!,0))),"Sell",INDEX('Inventaire M'!$A$2:$AD$9319,MATCH(R536,'Inventaire M'!$A:$A,0)-1,MATCH("quantite",'Inventaire M'!#REF!,0))))</f>
        <v/>
      </c>
      <c r="Z536" s="175"/>
      <c r="AA536" s="155" t="str">
        <f>IF(R536="-","",INDEX('Inventaire M-1'!$A$2:$AG$9334,MATCH(R536,'Inventaire M-1'!$A:$A,0)-1,MATCH("poids",'Inventaire M-1'!#REF!,0)))</f>
        <v/>
      </c>
      <c r="AB536" s="155" t="str">
        <f>IF(R536="-","",IF(ISERROR(INDEX('Inventaire M'!$A$2:$AD$9319,MATCH(R536,'Inventaire M'!$A:$A,0)-1,MATCH("poids",'Inventaire M'!#REF!,0))),"Sell",INDEX('Inventaire M'!$A$2:$AD$9319,MATCH(R536,'Inventaire M'!$A:$A,0)-1,MATCH("poids",'Inventaire M'!#REF!,0))))</f>
        <v/>
      </c>
      <c r="AC536" s="175"/>
      <c r="AD536" s="157" t="str">
        <f t="shared" si="57"/>
        <v>0</v>
      </c>
      <c r="AE536" s="98" t="str">
        <f t="shared" si="58"/>
        <v/>
      </c>
      <c r="AF536" s="80" t="str">
        <f t="shared" si="59"/>
        <v>-</v>
      </c>
    </row>
    <row r="537" spans="2:32" outlineLevel="1">
      <c r="B537" s="175" t="str">
        <f>IF(OR('Inventaire M'!D310="Dispo/Liquidité Investie",'Inventaire M'!D310="Option/Future",'Inventaire M'!D310="TCN",'Inventaire M'!D310=""),"-",'Inventaire M'!A310)</f>
        <v>-</v>
      </c>
      <c r="C537" s="175" t="str">
        <f>IF(OR('Inventaire M'!D310="Dispo/Liquidité Investie",'Inventaire M'!D310="Option/Future",'Inventaire M'!D310="TCN",'Inventaire M'!D310=""),"-",'Inventaire M'!B310)</f>
        <v>-</v>
      </c>
      <c r="D537" s="175"/>
      <c r="E537" s="175" t="str">
        <f>IF(B537="-","",INDEX('Inventaire M'!$A$2:$AW$9305,MATCH(B537,'Inventaire M'!$A:$A,0)-1,MATCH("Cours EUR",'Inventaire M'!#REF!,0)))</f>
        <v/>
      </c>
      <c r="F537" s="175" t="str">
        <f>IF(B537="-","",IF(ISERROR(INDEX('Inventaire M-1'!$A$2:$AZ$9320,MATCH(B537,'Inventaire M-1'!$A:$A,0)-1,MATCH("Cours EUR",'Inventaire M-1'!#REF!,0))),"Buy",INDEX('Inventaire M-1'!$A$2:$AZ$9320,MATCH(B537,'Inventaire M-1'!$A:$A,0)-1,MATCH("Cours EUR",'Inventaire M-1'!#REF!,0))))</f>
        <v/>
      </c>
      <c r="G537" s="175"/>
      <c r="H537" s="156" t="str">
        <f>IF(B537="-","",INDEX('Inventaire M'!$A$2:$AW$9305,MATCH(B537,'Inventaire M'!$A:$A,0)-1,MATCH("quantite",'Inventaire M'!#REF!,0)))</f>
        <v/>
      </c>
      <c r="I537" s="156" t="str">
        <f>IF(C537="-","",IF(ISERROR(INDEX('Inventaire M-1'!$A$2:$AZ$9320,MATCH(B537,'Inventaire M-1'!$A:$A,0)-1,MATCH("quantite",'Inventaire M-1'!#REF!,0))),"Buy",INDEX('Inventaire M-1'!$A$2:$AZ$9320,MATCH(B537,'Inventaire M-1'!$A:$A,0)-1,MATCH("quantite",'Inventaire M-1'!#REF!,0))))</f>
        <v/>
      </c>
      <c r="J537" s="175"/>
      <c r="K537" s="155" t="str">
        <f>IF(B537="-","",INDEX('Inventaire M'!$A$2:$AW$9305,MATCH(B537,'Inventaire M'!$A:$A,0)-1,MATCH("poids",'Inventaire M'!#REF!,0)))</f>
        <v/>
      </c>
      <c r="L537" s="155" t="str">
        <f>IF(B537="-","",IF(ISERROR(INDEX('Inventaire M-1'!$A$2:$AZ$9320,MATCH(B537,'Inventaire M-1'!$A:$A,0)-1,MATCH("poids",'Inventaire M-1'!#REF!,0))),"Buy",INDEX('Inventaire M-1'!$A$2:$AZ$9320,MATCH(B537,'Inventaire M-1'!$A:$A,0)-1,MATCH("poids",'Inventaire M-1'!#REF!,0))))</f>
        <v/>
      </c>
      <c r="M537" s="175"/>
      <c r="N537" s="157" t="str">
        <f t="shared" si="55"/>
        <v>0</v>
      </c>
      <c r="O537" s="98" t="str">
        <f t="shared" si="54"/>
        <v/>
      </c>
      <c r="P537" s="80" t="str">
        <f t="shared" si="56"/>
        <v>-</v>
      </c>
      <c r="Q537" s="75">
        <v>5.1300000000000003E-8</v>
      </c>
      <c r="R537" s="175" t="str">
        <f>IF(OR('Inventaire M-1'!D289="Dispo/Liquidité Investie",'Inventaire M-1'!D289="Option/Future",'Inventaire M-1'!D289="TCN",'Inventaire M-1'!D289=""),"-",'Inventaire M-1'!A289)</f>
        <v>-</v>
      </c>
      <c r="S537" s="175" t="str">
        <f>IF(OR('Inventaire M-1'!D289="Dispo/Liquidité Investie",'Inventaire M-1'!D289="Option/Future",'Inventaire M-1'!D289="TCN",'Inventaire M-1'!D289=""),"-",'Inventaire M-1'!B289)</f>
        <v>-</v>
      </c>
      <c r="T537" s="175"/>
      <c r="U537" s="175" t="str">
        <f>IF(R537="-","",INDEX('Inventaire M-1'!$A$2:$AG$9334,MATCH(R537,'Inventaire M-1'!$A:$A,0)-1,MATCH("Cours EUR",'Inventaire M-1'!#REF!,0)))</f>
        <v/>
      </c>
      <c r="V537" s="175" t="str">
        <f>IF(R537="-","",IF(ISERROR(INDEX('Inventaire M'!$A$2:$AD$9319,MATCH(R537,'Inventaire M'!$A:$A,0)-1,MATCH("Cours EUR",'Inventaire M'!#REF!,0))),"Sell",INDEX('Inventaire M'!$A$2:$AD$9319,MATCH(R537,'Inventaire M'!$A:$A,0)-1,MATCH("Cours EUR",'Inventaire M'!#REF!,0))))</f>
        <v/>
      </c>
      <c r="W537" s="175"/>
      <c r="X537" s="156" t="str">
        <f>IF(R537="-","",INDEX('Inventaire M-1'!$A$2:$AG$9334,MATCH(R537,'Inventaire M-1'!$A:$A,0)-1,MATCH("quantite",'Inventaire M-1'!#REF!,0)))</f>
        <v/>
      </c>
      <c r="Y537" s="156" t="str">
        <f>IF(S537="-","",IF(ISERROR(INDEX('Inventaire M'!$A$2:$AD$9319,MATCH(R537,'Inventaire M'!$A:$A,0)-1,MATCH("quantite",'Inventaire M'!#REF!,0))),"Sell",INDEX('Inventaire M'!$A$2:$AD$9319,MATCH(R537,'Inventaire M'!$A:$A,0)-1,MATCH("quantite",'Inventaire M'!#REF!,0))))</f>
        <v/>
      </c>
      <c r="Z537" s="175"/>
      <c r="AA537" s="155" t="str">
        <f>IF(R537="-","",INDEX('Inventaire M-1'!$A$2:$AG$9334,MATCH(R537,'Inventaire M-1'!$A:$A,0)-1,MATCH("poids",'Inventaire M-1'!#REF!,0)))</f>
        <v/>
      </c>
      <c r="AB537" s="155" t="str">
        <f>IF(R537="-","",IF(ISERROR(INDEX('Inventaire M'!$A$2:$AD$9319,MATCH(R537,'Inventaire M'!$A:$A,0)-1,MATCH("poids",'Inventaire M'!#REF!,0))),"Sell",INDEX('Inventaire M'!$A$2:$AD$9319,MATCH(R537,'Inventaire M'!$A:$A,0)-1,MATCH("poids",'Inventaire M'!#REF!,0))))</f>
        <v/>
      </c>
      <c r="AC537" s="175"/>
      <c r="AD537" s="157" t="str">
        <f t="shared" si="57"/>
        <v>0</v>
      </c>
      <c r="AE537" s="98" t="str">
        <f t="shared" si="58"/>
        <v/>
      </c>
      <c r="AF537" s="80" t="str">
        <f t="shared" si="59"/>
        <v>-</v>
      </c>
    </row>
    <row r="538" spans="2:32" outlineLevel="1">
      <c r="B538" s="175" t="str">
        <f>IF(OR('Inventaire M'!D311="Dispo/Liquidité Investie",'Inventaire M'!D311="Option/Future",'Inventaire M'!D311="TCN",'Inventaire M'!D311=""),"-",'Inventaire M'!A311)</f>
        <v>-</v>
      </c>
      <c r="C538" s="175" t="str">
        <f>IF(OR('Inventaire M'!D311="Dispo/Liquidité Investie",'Inventaire M'!D311="Option/Future",'Inventaire M'!D311="TCN",'Inventaire M'!D311=""),"-",'Inventaire M'!B311)</f>
        <v>-</v>
      </c>
      <c r="D538" s="175"/>
      <c r="E538" s="175" t="str">
        <f>IF(B538="-","",INDEX('Inventaire M'!$A$2:$AW$9305,MATCH(B538,'Inventaire M'!$A:$A,0)-1,MATCH("Cours EUR",'Inventaire M'!#REF!,0)))</f>
        <v/>
      </c>
      <c r="F538" s="175" t="str">
        <f>IF(B538="-","",IF(ISERROR(INDEX('Inventaire M-1'!$A$2:$AZ$9320,MATCH(B538,'Inventaire M-1'!$A:$A,0)-1,MATCH("Cours EUR",'Inventaire M-1'!#REF!,0))),"Buy",INDEX('Inventaire M-1'!$A$2:$AZ$9320,MATCH(B538,'Inventaire M-1'!$A:$A,0)-1,MATCH("Cours EUR",'Inventaire M-1'!#REF!,0))))</f>
        <v/>
      </c>
      <c r="G538" s="175"/>
      <c r="H538" s="156" t="str">
        <f>IF(B538="-","",INDEX('Inventaire M'!$A$2:$AW$9305,MATCH(B538,'Inventaire M'!$A:$A,0)-1,MATCH("quantite",'Inventaire M'!#REF!,0)))</f>
        <v/>
      </c>
      <c r="I538" s="156" t="str">
        <f>IF(C538="-","",IF(ISERROR(INDEX('Inventaire M-1'!$A$2:$AZ$9320,MATCH(B538,'Inventaire M-1'!$A:$A,0)-1,MATCH("quantite",'Inventaire M-1'!#REF!,0))),"Buy",INDEX('Inventaire M-1'!$A$2:$AZ$9320,MATCH(B538,'Inventaire M-1'!$A:$A,0)-1,MATCH("quantite",'Inventaire M-1'!#REF!,0))))</f>
        <v/>
      </c>
      <c r="J538" s="175"/>
      <c r="K538" s="155" t="str">
        <f>IF(B538="-","",INDEX('Inventaire M'!$A$2:$AW$9305,MATCH(B538,'Inventaire M'!$A:$A,0)-1,MATCH("poids",'Inventaire M'!#REF!,0)))</f>
        <v/>
      </c>
      <c r="L538" s="155" t="str">
        <f>IF(B538="-","",IF(ISERROR(INDEX('Inventaire M-1'!$A$2:$AZ$9320,MATCH(B538,'Inventaire M-1'!$A:$A,0)-1,MATCH("poids",'Inventaire M-1'!#REF!,0))),"Buy",INDEX('Inventaire M-1'!$A$2:$AZ$9320,MATCH(B538,'Inventaire M-1'!$A:$A,0)-1,MATCH("poids",'Inventaire M-1'!#REF!,0))))</f>
        <v/>
      </c>
      <c r="M538" s="175"/>
      <c r="N538" s="157" t="str">
        <f t="shared" si="55"/>
        <v>0</v>
      </c>
      <c r="O538" s="98" t="str">
        <f t="shared" ref="O538:O601" si="60">IFERROR(IF(N538&gt;0,IF(L538="Buy",K538,K538-L538)+Q538,""),"")</f>
        <v/>
      </c>
      <c r="P538" s="80" t="str">
        <f t="shared" si="56"/>
        <v>-</v>
      </c>
      <c r="Q538" s="75">
        <v>5.1399999999999997E-8</v>
      </c>
      <c r="R538" s="175" t="str">
        <f>IF(OR('Inventaire M-1'!D290="Dispo/Liquidité Investie",'Inventaire M-1'!D290="Option/Future",'Inventaire M-1'!D290="TCN",'Inventaire M-1'!D290=""),"-",'Inventaire M-1'!A290)</f>
        <v>-</v>
      </c>
      <c r="S538" s="175" t="str">
        <f>IF(OR('Inventaire M-1'!D290="Dispo/Liquidité Investie",'Inventaire M-1'!D290="Option/Future",'Inventaire M-1'!D290="TCN",'Inventaire M-1'!D290=""),"-",'Inventaire M-1'!B290)</f>
        <v>-</v>
      </c>
      <c r="T538" s="175"/>
      <c r="U538" s="175" t="str">
        <f>IF(R538="-","",INDEX('Inventaire M-1'!$A$2:$AG$9334,MATCH(R538,'Inventaire M-1'!$A:$A,0)-1,MATCH("Cours EUR",'Inventaire M-1'!#REF!,0)))</f>
        <v/>
      </c>
      <c r="V538" s="175" t="str">
        <f>IF(R538="-","",IF(ISERROR(INDEX('Inventaire M'!$A$2:$AD$9319,MATCH(R538,'Inventaire M'!$A:$A,0)-1,MATCH("Cours EUR",'Inventaire M'!#REF!,0))),"Sell",INDEX('Inventaire M'!$A$2:$AD$9319,MATCH(R538,'Inventaire M'!$A:$A,0)-1,MATCH("Cours EUR",'Inventaire M'!#REF!,0))))</f>
        <v/>
      </c>
      <c r="W538" s="175"/>
      <c r="X538" s="156" t="str">
        <f>IF(R538="-","",INDEX('Inventaire M-1'!$A$2:$AG$9334,MATCH(R538,'Inventaire M-1'!$A:$A,0)-1,MATCH("quantite",'Inventaire M-1'!#REF!,0)))</f>
        <v/>
      </c>
      <c r="Y538" s="156" t="str">
        <f>IF(S538="-","",IF(ISERROR(INDEX('Inventaire M'!$A$2:$AD$9319,MATCH(R538,'Inventaire M'!$A:$A,0)-1,MATCH("quantite",'Inventaire M'!#REF!,0))),"Sell",INDEX('Inventaire M'!$A$2:$AD$9319,MATCH(R538,'Inventaire M'!$A:$A,0)-1,MATCH("quantite",'Inventaire M'!#REF!,0))))</f>
        <v/>
      </c>
      <c r="Z538" s="175"/>
      <c r="AA538" s="155" t="str">
        <f>IF(R538="-","",INDEX('Inventaire M-1'!$A$2:$AG$9334,MATCH(R538,'Inventaire M-1'!$A:$A,0)-1,MATCH("poids",'Inventaire M-1'!#REF!,0)))</f>
        <v/>
      </c>
      <c r="AB538" s="155" t="str">
        <f>IF(R538="-","",IF(ISERROR(INDEX('Inventaire M'!$A$2:$AD$9319,MATCH(R538,'Inventaire M'!$A:$A,0)-1,MATCH("poids",'Inventaire M'!#REF!,0))),"Sell",INDEX('Inventaire M'!$A$2:$AD$9319,MATCH(R538,'Inventaire M'!$A:$A,0)-1,MATCH("poids",'Inventaire M'!#REF!,0))))</f>
        <v/>
      </c>
      <c r="AC538" s="175"/>
      <c r="AD538" s="157" t="str">
        <f t="shared" si="57"/>
        <v>0</v>
      </c>
      <c r="AE538" s="98" t="str">
        <f t="shared" si="58"/>
        <v/>
      </c>
      <c r="AF538" s="80" t="str">
        <f t="shared" si="59"/>
        <v>-</v>
      </c>
    </row>
    <row r="539" spans="2:32" outlineLevel="1">
      <c r="B539" s="175" t="str">
        <f>IF(OR('Inventaire M'!D312="Dispo/Liquidité Investie",'Inventaire M'!D312="Option/Future",'Inventaire M'!D312="TCN",'Inventaire M'!D312=""),"-",'Inventaire M'!A312)</f>
        <v>-</v>
      </c>
      <c r="C539" s="175" t="str">
        <f>IF(OR('Inventaire M'!D312="Dispo/Liquidité Investie",'Inventaire M'!D312="Option/Future",'Inventaire M'!D312="TCN",'Inventaire M'!D312=""),"-",'Inventaire M'!B312)</f>
        <v>-</v>
      </c>
      <c r="D539" s="175"/>
      <c r="E539" s="175" t="str">
        <f>IF(B539="-","",INDEX('Inventaire M'!$A$2:$AW$9305,MATCH(B539,'Inventaire M'!$A:$A,0)-1,MATCH("Cours EUR",'Inventaire M'!#REF!,0)))</f>
        <v/>
      </c>
      <c r="F539" s="175" t="str">
        <f>IF(B539="-","",IF(ISERROR(INDEX('Inventaire M-1'!$A$2:$AZ$9320,MATCH(B539,'Inventaire M-1'!$A:$A,0)-1,MATCH("Cours EUR",'Inventaire M-1'!#REF!,0))),"Buy",INDEX('Inventaire M-1'!$A$2:$AZ$9320,MATCH(B539,'Inventaire M-1'!$A:$A,0)-1,MATCH("Cours EUR",'Inventaire M-1'!#REF!,0))))</f>
        <v/>
      </c>
      <c r="G539" s="175"/>
      <c r="H539" s="156" t="str">
        <f>IF(B539="-","",INDEX('Inventaire M'!$A$2:$AW$9305,MATCH(B539,'Inventaire M'!$A:$A,0)-1,MATCH("quantite",'Inventaire M'!#REF!,0)))</f>
        <v/>
      </c>
      <c r="I539" s="156" t="str">
        <f>IF(C539="-","",IF(ISERROR(INDEX('Inventaire M-1'!$A$2:$AZ$9320,MATCH(B539,'Inventaire M-1'!$A:$A,0)-1,MATCH("quantite",'Inventaire M-1'!#REF!,0))),"Buy",INDEX('Inventaire M-1'!$A$2:$AZ$9320,MATCH(B539,'Inventaire M-1'!$A:$A,0)-1,MATCH("quantite",'Inventaire M-1'!#REF!,0))))</f>
        <v/>
      </c>
      <c r="J539" s="175"/>
      <c r="K539" s="155" t="str">
        <f>IF(B539="-","",INDEX('Inventaire M'!$A$2:$AW$9305,MATCH(B539,'Inventaire M'!$A:$A,0)-1,MATCH("poids",'Inventaire M'!#REF!,0)))</f>
        <v/>
      </c>
      <c r="L539" s="155" t="str">
        <f>IF(B539="-","",IF(ISERROR(INDEX('Inventaire M-1'!$A$2:$AZ$9320,MATCH(B539,'Inventaire M-1'!$A:$A,0)-1,MATCH("poids",'Inventaire M-1'!#REF!,0))),"Buy",INDEX('Inventaire M-1'!$A$2:$AZ$9320,MATCH(B539,'Inventaire M-1'!$A:$A,0)-1,MATCH("poids",'Inventaire M-1'!#REF!,0))))</f>
        <v/>
      </c>
      <c r="M539" s="175"/>
      <c r="N539" s="157" t="str">
        <f t="shared" si="55"/>
        <v>0</v>
      </c>
      <c r="O539" s="98" t="str">
        <f t="shared" si="60"/>
        <v/>
      </c>
      <c r="P539" s="80" t="str">
        <f t="shared" si="56"/>
        <v>-</v>
      </c>
      <c r="Q539" s="75">
        <v>5.1499999999999998E-8</v>
      </c>
      <c r="R539" s="175" t="str">
        <f>IF(OR('Inventaire M-1'!D291="Dispo/Liquidité Investie",'Inventaire M-1'!D291="Option/Future",'Inventaire M-1'!D291="TCN",'Inventaire M-1'!D291=""),"-",'Inventaire M-1'!A291)</f>
        <v>-</v>
      </c>
      <c r="S539" s="175" t="str">
        <f>IF(OR('Inventaire M-1'!D291="Dispo/Liquidité Investie",'Inventaire M-1'!D291="Option/Future",'Inventaire M-1'!D291="TCN",'Inventaire M-1'!D291=""),"-",'Inventaire M-1'!B291)</f>
        <v>-</v>
      </c>
      <c r="T539" s="175"/>
      <c r="U539" s="175" t="str">
        <f>IF(R539="-","",INDEX('Inventaire M-1'!$A$2:$AG$9334,MATCH(R539,'Inventaire M-1'!$A:$A,0)-1,MATCH("Cours EUR",'Inventaire M-1'!#REF!,0)))</f>
        <v/>
      </c>
      <c r="V539" s="175" t="str">
        <f>IF(R539="-","",IF(ISERROR(INDEX('Inventaire M'!$A$2:$AD$9319,MATCH(R539,'Inventaire M'!$A:$A,0)-1,MATCH("Cours EUR",'Inventaire M'!#REF!,0))),"Sell",INDEX('Inventaire M'!$A$2:$AD$9319,MATCH(R539,'Inventaire M'!$A:$A,0)-1,MATCH("Cours EUR",'Inventaire M'!#REF!,0))))</f>
        <v/>
      </c>
      <c r="W539" s="175"/>
      <c r="X539" s="156" t="str">
        <f>IF(R539="-","",INDEX('Inventaire M-1'!$A$2:$AG$9334,MATCH(R539,'Inventaire M-1'!$A:$A,0)-1,MATCH("quantite",'Inventaire M-1'!#REF!,0)))</f>
        <v/>
      </c>
      <c r="Y539" s="156" t="str">
        <f>IF(S539="-","",IF(ISERROR(INDEX('Inventaire M'!$A$2:$AD$9319,MATCH(R539,'Inventaire M'!$A:$A,0)-1,MATCH("quantite",'Inventaire M'!#REF!,0))),"Sell",INDEX('Inventaire M'!$A$2:$AD$9319,MATCH(R539,'Inventaire M'!$A:$A,0)-1,MATCH("quantite",'Inventaire M'!#REF!,0))))</f>
        <v/>
      </c>
      <c r="Z539" s="175"/>
      <c r="AA539" s="155" t="str">
        <f>IF(R539="-","",INDEX('Inventaire M-1'!$A$2:$AG$9334,MATCH(R539,'Inventaire M-1'!$A:$A,0)-1,MATCH("poids",'Inventaire M-1'!#REF!,0)))</f>
        <v/>
      </c>
      <c r="AB539" s="155" t="str">
        <f>IF(R539="-","",IF(ISERROR(INDEX('Inventaire M'!$A$2:$AD$9319,MATCH(R539,'Inventaire M'!$A:$A,0)-1,MATCH("poids",'Inventaire M'!#REF!,0))),"Sell",INDEX('Inventaire M'!$A$2:$AD$9319,MATCH(R539,'Inventaire M'!$A:$A,0)-1,MATCH("poids",'Inventaire M'!#REF!,0))))</f>
        <v/>
      </c>
      <c r="AC539" s="175"/>
      <c r="AD539" s="157" t="str">
        <f t="shared" si="57"/>
        <v>0</v>
      </c>
      <c r="AE539" s="98" t="str">
        <f t="shared" si="58"/>
        <v/>
      </c>
      <c r="AF539" s="80" t="str">
        <f t="shared" si="59"/>
        <v>-</v>
      </c>
    </row>
    <row r="540" spans="2:32" outlineLevel="1">
      <c r="B540" s="175" t="str">
        <f>IF(OR('Inventaire M'!D313="Dispo/Liquidité Investie",'Inventaire M'!D313="Option/Future",'Inventaire M'!D313="TCN",'Inventaire M'!D313=""),"-",'Inventaire M'!A313)</f>
        <v>-</v>
      </c>
      <c r="C540" s="175" t="str">
        <f>IF(OR('Inventaire M'!D313="Dispo/Liquidité Investie",'Inventaire M'!D313="Option/Future",'Inventaire M'!D313="TCN",'Inventaire M'!D313=""),"-",'Inventaire M'!B313)</f>
        <v>-</v>
      </c>
      <c r="D540" s="175"/>
      <c r="E540" s="175" t="str">
        <f>IF(B540="-","",INDEX('Inventaire M'!$A$2:$AW$9305,MATCH(B540,'Inventaire M'!$A:$A,0)-1,MATCH("Cours EUR",'Inventaire M'!#REF!,0)))</f>
        <v/>
      </c>
      <c r="F540" s="175" t="str">
        <f>IF(B540="-","",IF(ISERROR(INDEX('Inventaire M-1'!$A$2:$AZ$9320,MATCH(B540,'Inventaire M-1'!$A:$A,0)-1,MATCH("Cours EUR",'Inventaire M-1'!#REF!,0))),"Buy",INDEX('Inventaire M-1'!$A$2:$AZ$9320,MATCH(B540,'Inventaire M-1'!$A:$A,0)-1,MATCH("Cours EUR",'Inventaire M-1'!#REF!,0))))</f>
        <v/>
      </c>
      <c r="G540" s="175"/>
      <c r="H540" s="156" t="str">
        <f>IF(B540="-","",INDEX('Inventaire M'!$A$2:$AW$9305,MATCH(B540,'Inventaire M'!$A:$A,0)-1,MATCH("quantite",'Inventaire M'!#REF!,0)))</f>
        <v/>
      </c>
      <c r="I540" s="156" t="str">
        <f>IF(C540="-","",IF(ISERROR(INDEX('Inventaire M-1'!$A$2:$AZ$9320,MATCH(B540,'Inventaire M-1'!$A:$A,0)-1,MATCH("quantite",'Inventaire M-1'!#REF!,0))),"Buy",INDEX('Inventaire M-1'!$A$2:$AZ$9320,MATCH(B540,'Inventaire M-1'!$A:$A,0)-1,MATCH("quantite",'Inventaire M-1'!#REF!,0))))</f>
        <v/>
      </c>
      <c r="J540" s="175"/>
      <c r="K540" s="155" t="str">
        <f>IF(B540="-","",INDEX('Inventaire M'!$A$2:$AW$9305,MATCH(B540,'Inventaire M'!$A:$A,0)-1,MATCH("poids",'Inventaire M'!#REF!,0)))</f>
        <v/>
      </c>
      <c r="L540" s="155" t="str">
        <f>IF(B540="-","",IF(ISERROR(INDEX('Inventaire M-1'!$A$2:$AZ$9320,MATCH(B540,'Inventaire M-1'!$A:$A,0)-1,MATCH("poids",'Inventaire M-1'!#REF!,0))),"Buy",INDEX('Inventaire M-1'!$A$2:$AZ$9320,MATCH(B540,'Inventaire M-1'!$A:$A,0)-1,MATCH("poids",'Inventaire M-1'!#REF!,0))))</f>
        <v/>
      </c>
      <c r="M540" s="175"/>
      <c r="N540" s="157" t="str">
        <f t="shared" ref="N540:N603" si="61">IFERROR(IF(I540="Buy",H540,H540-I540),"0")</f>
        <v>0</v>
      </c>
      <c r="O540" s="98" t="str">
        <f t="shared" si="60"/>
        <v/>
      </c>
      <c r="P540" s="80" t="str">
        <f t="shared" ref="P540:P603" si="62">C540</f>
        <v>-</v>
      </c>
      <c r="Q540" s="75">
        <v>5.1599999999999999E-8</v>
      </c>
      <c r="R540" s="175" t="str">
        <f>IF(OR('Inventaire M-1'!D292="Dispo/Liquidité Investie",'Inventaire M-1'!D292="Option/Future",'Inventaire M-1'!D292="TCN",'Inventaire M-1'!D292=""),"-",'Inventaire M-1'!A292)</f>
        <v>-</v>
      </c>
      <c r="S540" s="175" t="str">
        <f>IF(OR('Inventaire M-1'!D292="Dispo/Liquidité Investie",'Inventaire M-1'!D292="Option/Future",'Inventaire M-1'!D292="TCN",'Inventaire M-1'!D292=""),"-",'Inventaire M-1'!B292)</f>
        <v>-</v>
      </c>
      <c r="T540" s="175"/>
      <c r="U540" s="175" t="str">
        <f>IF(R540="-","",INDEX('Inventaire M-1'!$A$2:$AG$9334,MATCH(R540,'Inventaire M-1'!$A:$A,0)-1,MATCH("Cours EUR",'Inventaire M-1'!#REF!,0)))</f>
        <v/>
      </c>
      <c r="V540" s="175" t="str">
        <f>IF(R540="-","",IF(ISERROR(INDEX('Inventaire M'!$A$2:$AD$9319,MATCH(R540,'Inventaire M'!$A:$A,0)-1,MATCH("Cours EUR",'Inventaire M'!#REF!,0))),"Sell",INDEX('Inventaire M'!$A$2:$AD$9319,MATCH(R540,'Inventaire M'!$A:$A,0)-1,MATCH("Cours EUR",'Inventaire M'!#REF!,0))))</f>
        <v/>
      </c>
      <c r="W540" s="175"/>
      <c r="X540" s="156" t="str">
        <f>IF(R540="-","",INDEX('Inventaire M-1'!$A$2:$AG$9334,MATCH(R540,'Inventaire M-1'!$A:$A,0)-1,MATCH("quantite",'Inventaire M-1'!#REF!,0)))</f>
        <v/>
      </c>
      <c r="Y540" s="156" t="str">
        <f>IF(S540="-","",IF(ISERROR(INDEX('Inventaire M'!$A$2:$AD$9319,MATCH(R540,'Inventaire M'!$A:$A,0)-1,MATCH("quantite",'Inventaire M'!#REF!,0))),"Sell",INDEX('Inventaire M'!$A$2:$AD$9319,MATCH(R540,'Inventaire M'!$A:$A,0)-1,MATCH("quantite",'Inventaire M'!#REF!,0))))</f>
        <v/>
      </c>
      <c r="Z540" s="175"/>
      <c r="AA540" s="155" t="str">
        <f>IF(R540="-","",INDEX('Inventaire M-1'!$A$2:$AG$9334,MATCH(R540,'Inventaire M-1'!$A:$A,0)-1,MATCH("poids",'Inventaire M-1'!#REF!,0)))</f>
        <v/>
      </c>
      <c r="AB540" s="155" t="str">
        <f>IF(R540="-","",IF(ISERROR(INDEX('Inventaire M'!$A$2:$AD$9319,MATCH(R540,'Inventaire M'!$A:$A,0)-1,MATCH("poids",'Inventaire M'!#REF!,0))),"Sell",INDEX('Inventaire M'!$A$2:$AD$9319,MATCH(R540,'Inventaire M'!$A:$A,0)-1,MATCH("poids",'Inventaire M'!#REF!,0))))</f>
        <v/>
      </c>
      <c r="AC540" s="175"/>
      <c r="AD540" s="157" t="str">
        <f t="shared" ref="AD540:AD603" si="63">IFERROR(IF(Y540="Sell",-X540,Y540-X540),"0")</f>
        <v>0</v>
      </c>
      <c r="AE540" s="98" t="str">
        <f t="shared" ref="AE540:AE603" si="64">IFERROR(IF(AD540&lt;0,IF(AB540="Sell",AA540+10%,AB540-AA540)+Q540,""),"")</f>
        <v/>
      </c>
      <c r="AF540" s="80" t="str">
        <f t="shared" ref="AF540:AF603" si="65">S540</f>
        <v>-</v>
      </c>
    </row>
    <row r="541" spans="2:32" outlineLevel="1">
      <c r="B541" s="175" t="str">
        <f>IF(OR('Inventaire M'!D314="Dispo/Liquidité Investie",'Inventaire M'!D314="Option/Future",'Inventaire M'!D314="TCN",'Inventaire M'!D314=""),"-",'Inventaire M'!A314)</f>
        <v>-</v>
      </c>
      <c r="C541" s="175" t="str">
        <f>IF(OR('Inventaire M'!D314="Dispo/Liquidité Investie",'Inventaire M'!D314="Option/Future",'Inventaire M'!D314="TCN",'Inventaire M'!D314=""),"-",'Inventaire M'!B314)</f>
        <v>-</v>
      </c>
      <c r="D541" s="175"/>
      <c r="E541" s="175" t="str">
        <f>IF(B541="-","",INDEX('Inventaire M'!$A$2:$AW$9305,MATCH(B541,'Inventaire M'!$A:$A,0)-1,MATCH("Cours EUR",'Inventaire M'!#REF!,0)))</f>
        <v/>
      </c>
      <c r="F541" s="175" t="str">
        <f>IF(B541="-","",IF(ISERROR(INDEX('Inventaire M-1'!$A$2:$AZ$9320,MATCH(B541,'Inventaire M-1'!$A:$A,0)-1,MATCH("Cours EUR",'Inventaire M-1'!#REF!,0))),"Buy",INDEX('Inventaire M-1'!$A$2:$AZ$9320,MATCH(B541,'Inventaire M-1'!$A:$A,0)-1,MATCH("Cours EUR",'Inventaire M-1'!#REF!,0))))</f>
        <v/>
      </c>
      <c r="G541" s="175"/>
      <c r="H541" s="156" t="str">
        <f>IF(B541="-","",INDEX('Inventaire M'!$A$2:$AW$9305,MATCH(B541,'Inventaire M'!$A:$A,0)-1,MATCH("quantite",'Inventaire M'!#REF!,0)))</f>
        <v/>
      </c>
      <c r="I541" s="156" t="str">
        <f>IF(C541="-","",IF(ISERROR(INDEX('Inventaire M-1'!$A$2:$AZ$9320,MATCH(B541,'Inventaire M-1'!$A:$A,0)-1,MATCH("quantite",'Inventaire M-1'!#REF!,0))),"Buy",INDEX('Inventaire M-1'!$A$2:$AZ$9320,MATCH(B541,'Inventaire M-1'!$A:$A,0)-1,MATCH("quantite",'Inventaire M-1'!#REF!,0))))</f>
        <v/>
      </c>
      <c r="J541" s="175"/>
      <c r="K541" s="155" t="str">
        <f>IF(B541="-","",INDEX('Inventaire M'!$A$2:$AW$9305,MATCH(B541,'Inventaire M'!$A:$A,0)-1,MATCH("poids",'Inventaire M'!#REF!,0)))</f>
        <v/>
      </c>
      <c r="L541" s="155" t="str">
        <f>IF(B541="-","",IF(ISERROR(INDEX('Inventaire M-1'!$A$2:$AZ$9320,MATCH(B541,'Inventaire M-1'!$A:$A,0)-1,MATCH("poids",'Inventaire M-1'!#REF!,0))),"Buy",INDEX('Inventaire M-1'!$A$2:$AZ$9320,MATCH(B541,'Inventaire M-1'!$A:$A,0)-1,MATCH("poids",'Inventaire M-1'!#REF!,0))))</f>
        <v/>
      </c>
      <c r="M541" s="175"/>
      <c r="N541" s="157" t="str">
        <f t="shared" si="61"/>
        <v>0</v>
      </c>
      <c r="O541" s="98" t="str">
        <f t="shared" si="60"/>
        <v/>
      </c>
      <c r="P541" s="80" t="str">
        <f t="shared" si="62"/>
        <v>-</v>
      </c>
      <c r="Q541" s="75">
        <v>5.17E-8</v>
      </c>
      <c r="R541" s="175" t="str">
        <f>IF(OR('Inventaire M-1'!D293="Dispo/Liquidité Investie",'Inventaire M-1'!D293="Option/Future",'Inventaire M-1'!D293="TCN",'Inventaire M-1'!D293=""),"-",'Inventaire M-1'!A293)</f>
        <v>-</v>
      </c>
      <c r="S541" s="175" t="str">
        <f>IF(OR('Inventaire M-1'!D293="Dispo/Liquidité Investie",'Inventaire M-1'!D293="Option/Future",'Inventaire M-1'!D293="TCN",'Inventaire M-1'!D293=""),"-",'Inventaire M-1'!B293)</f>
        <v>-</v>
      </c>
      <c r="T541" s="175"/>
      <c r="U541" s="175" t="str">
        <f>IF(R541="-","",INDEX('Inventaire M-1'!$A$2:$AG$9334,MATCH(R541,'Inventaire M-1'!$A:$A,0)-1,MATCH("Cours EUR",'Inventaire M-1'!#REF!,0)))</f>
        <v/>
      </c>
      <c r="V541" s="175" t="str">
        <f>IF(R541="-","",IF(ISERROR(INDEX('Inventaire M'!$A$2:$AD$9319,MATCH(R541,'Inventaire M'!$A:$A,0)-1,MATCH("Cours EUR",'Inventaire M'!#REF!,0))),"Sell",INDEX('Inventaire M'!$A$2:$AD$9319,MATCH(R541,'Inventaire M'!$A:$A,0)-1,MATCH("Cours EUR",'Inventaire M'!#REF!,0))))</f>
        <v/>
      </c>
      <c r="W541" s="175"/>
      <c r="X541" s="156" t="str">
        <f>IF(R541="-","",INDEX('Inventaire M-1'!$A$2:$AG$9334,MATCH(R541,'Inventaire M-1'!$A:$A,0)-1,MATCH("quantite",'Inventaire M-1'!#REF!,0)))</f>
        <v/>
      </c>
      <c r="Y541" s="156" t="str">
        <f>IF(S541="-","",IF(ISERROR(INDEX('Inventaire M'!$A$2:$AD$9319,MATCH(R541,'Inventaire M'!$A:$A,0)-1,MATCH("quantite",'Inventaire M'!#REF!,0))),"Sell",INDEX('Inventaire M'!$A$2:$AD$9319,MATCH(R541,'Inventaire M'!$A:$A,0)-1,MATCH("quantite",'Inventaire M'!#REF!,0))))</f>
        <v/>
      </c>
      <c r="Z541" s="175"/>
      <c r="AA541" s="155" t="str">
        <f>IF(R541="-","",INDEX('Inventaire M-1'!$A$2:$AG$9334,MATCH(R541,'Inventaire M-1'!$A:$A,0)-1,MATCH("poids",'Inventaire M-1'!#REF!,0)))</f>
        <v/>
      </c>
      <c r="AB541" s="155" t="str">
        <f>IF(R541="-","",IF(ISERROR(INDEX('Inventaire M'!$A$2:$AD$9319,MATCH(R541,'Inventaire M'!$A:$A,0)-1,MATCH("poids",'Inventaire M'!#REF!,0))),"Sell",INDEX('Inventaire M'!$A$2:$AD$9319,MATCH(R541,'Inventaire M'!$A:$A,0)-1,MATCH("poids",'Inventaire M'!#REF!,0))))</f>
        <v/>
      </c>
      <c r="AC541" s="175"/>
      <c r="AD541" s="157" t="str">
        <f t="shared" si="63"/>
        <v>0</v>
      </c>
      <c r="AE541" s="98" t="str">
        <f t="shared" si="64"/>
        <v/>
      </c>
      <c r="AF541" s="80" t="str">
        <f t="shared" si="65"/>
        <v>-</v>
      </c>
    </row>
    <row r="542" spans="2:32" outlineLevel="1">
      <c r="B542" s="175" t="str">
        <f>IF(OR('Inventaire M'!D315="Dispo/Liquidité Investie",'Inventaire M'!D315="Option/Future",'Inventaire M'!D315="TCN",'Inventaire M'!D315=""),"-",'Inventaire M'!A315)</f>
        <v>-</v>
      </c>
      <c r="C542" s="175" t="str">
        <f>IF(OR('Inventaire M'!D315="Dispo/Liquidité Investie",'Inventaire M'!D315="Option/Future",'Inventaire M'!D315="TCN",'Inventaire M'!D315=""),"-",'Inventaire M'!B315)</f>
        <v>-</v>
      </c>
      <c r="D542" s="175"/>
      <c r="E542" s="175" t="str">
        <f>IF(B542="-","",INDEX('Inventaire M'!$A$2:$AW$9305,MATCH(B542,'Inventaire M'!$A:$A,0)-1,MATCH("Cours EUR",'Inventaire M'!#REF!,0)))</f>
        <v/>
      </c>
      <c r="F542" s="175" t="str">
        <f>IF(B542="-","",IF(ISERROR(INDEX('Inventaire M-1'!$A$2:$AZ$9320,MATCH(B542,'Inventaire M-1'!$A:$A,0)-1,MATCH("Cours EUR",'Inventaire M-1'!#REF!,0))),"Buy",INDEX('Inventaire M-1'!$A$2:$AZ$9320,MATCH(B542,'Inventaire M-1'!$A:$A,0)-1,MATCH("Cours EUR",'Inventaire M-1'!#REF!,0))))</f>
        <v/>
      </c>
      <c r="G542" s="175"/>
      <c r="H542" s="156" t="str">
        <f>IF(B542="-","",INDEX('Inventaire M'!$A$2:$AW$9305,MATCH(B542,'Inventaire M'!$A:$A,0)-1,MATCH("quantite",'Inventaire M'!#REF!,0)))</f>
        <v/>
      </c>
      <c r="I542" s="156" t="str">
        <f>IF(C542="-","",IF(ISERROR(INDEX('Inventaire M-1'!$A$2:$AZ$9320,MATCH(B542,'Inventaire M-1'!$A:$A,0)-1,MATCH("quantite",'Inventaire M-1'!#REF!,0))),"Buy",INDEX('Inventaire M-1'!$A$2:$AZ$9320,MATCH(B542,'Inventaire M-1'!$A:$A,0)-1,MATCH("quantite",'Inventaire M-1'!#REF!,0))))</f>
        <v/>
      </c>
      <c r="J542" s="175"/>
      <c r="K542" s="155" t="str">
        <f>IF(B542="-","",INDEX('Inventaire M'!$A$2:$AW$9305,MATCH(B542,'Inventaire M'!$A:$A,0)-1,MATCH("poids",'Inventaire M'!#REF!,0)))</f>
        <v/>
      </c>
      <c r="L542" s="155" t="str">
        <f>IF(B542="-","",IF(ISERROR(INDEX('Inventaire M-1'!$A$2:$AZ$9320,MATCH(B542,'Inventaire M-1'!$A:$A,0)-1,MATCH("poids",'Inventaire M-1'!#REF!,0))),"Buy",INDEX('Inventaire M-1'!$A$2:$AZ$9320,MATCH(B542,'Inventaire M-1'!$A:$A,0)-1,MATCH("poids",'Inventaire M-1'!#REF!,0))))</f>
        <v/>
      </c>
      <c r="M542" s="175"/>
      <c r="N542" s="157" t="str">
        <f t="shared" si="61"/>
        <v>0</v>
      </c>
      <c r="O542" s="98" t="str">
        <f t="shared" si="60"/>
        <v/>
      </c>
      <c r="P542" s="80" t="str">
        <f t="shared" si="62"/>
        <v>-</v>
      </c>
      <c r="Q542" s="75">
        <v>5.1800000000000001E-8</v>
      </c>
      <c r="R542" s="175" t="str">
        <f>IF(OR('Inventaire M-1'!D294="Dispo/Liquidité Investie",'Inventaire M-1'!D294="Option/Future",'Inventaire M-1'!D294="TCN",'Inventaire M-1'!D294=""),"-",'Inventaire M-1'!A294)</f>
        <v>-</v>
      </c>
      <c r="S542" s="175" t="str">
        <f>IF(OR('Inventaire M-1'!D294="Dispo/Liquidité Investie",'Inventaire M-1'!D294="Option/Future",'Inventaire M-1'!D294="TCN",'Inventaire M-1'!D294=""),"-",'Inventaire M-1'!B294)</f>
        <v>-</v>
      </c>
      <c r="T542" s="175"/>
      <c r="U542" s="175" t="str">
        <f>IF(R542="-","",INDEX('Inventaire M-1'!$A$2:$AG$9334,MATCH(R542,'Inventaire M-1'!$A:$A,0)-1,MATCH("Cours EUR",'Inventaire M-1'!#REF!,0)))</f>
        <v/>
      </c>
      <c r="V542" s="175" t="str">
        <f>IF(R542="-","",IF(ISERROR(INDEX('Inventaire M'!$A$2:$AD$9319,MATCH(R542,'Inventaire M'!$A:$A,0)-1,MATCH("Cours EUR",'Inventaire M'!#REF!,0))),"Sell",INDEX('Inventaire M'!$A$2:$AD$9319,MATCH(R542,'Inventaire M'!$A:$A,0)-1,MATCH("Cours EUR",'Inventaire M'!#REF!,0))))</f>
        <v/>
      </c>
      <c r="W542" s="175"/>
      <c r="X542" s="156" t="str">
        <f>IF(R542="-","",INDEX('Inventaire M-1'!$A$2:$AG$9334,MATCH(R542,'Inventaire M-1'!$A:$A,0)-1,MATCH("quantite",'Inventaire M-1'!#REF!,0)))</f>
        <v/>
      </c>
      <c r="Y542" s="156" t="str">
        <f>IF(S542="-","",IF(ISERROR(INDEX('Inventaire M'!$A$2:$AD$9319,MATCH(R542,'Inventaire M'!$A:$A,0)-1,MATCH("quantite",'Inventaire M'!#REF!,0))),"Sell",INDEX('Inventaire M'!$A$2:$AD$9319,MATCH(R542,'Inventaire M'!$A:$A,0)-1,MATCH("quantite",'Inventaire M'!#REF!,0))))</f>
        <v/>
      </c>
      <c r="Z542" s="175"/>
      <c r="AA542" s="155" t="str">
        <f>IF(R542="-","",INDEX('Inventaire M-1'!$A$2:$AG$9334,MATCH(R542,'Inventaire M-1'!$A:$A,0)-1,MATCH("poids",'Inventaire M-1'!#REF!,0)))</f>
        <v/>
      </c>
      <c r="AB542" s="155" t="str">
        <f>IF(R542="-","",IF(ISERROR(INDEX('Inventaire M'!$A$2:$AD$9319,MATCH(R542,'Inventaire M'!$A:$A,0)-1,MATCH("poids",'Inventaire M'!#REF!,0))),"Sell",INDEX('Inventaire M'!$A$2:$AD$9319,MATCH(R542,'Inventaire M'!$A:$A,0)-1,MATCH("poids",'Inventaire M'!#REF!,0))))</f>
        <v/>
      </c>
      <c r="AC542" s="175"/>
      <c r="AD542" s="157" t="str">
        <f t="shared" si="63"/>
        <v>0</v>
      </c>
      <c r="AE542" s="98" t="str">
        <f t="shared" si="64"/>
        <v/>
      </c>
      <c r="AF542" s="80" t="str">
        <f t="shared" si="65"/>
        <v>-</v>
      </c>
    </row>
    <row r="543" spans="2:32" outlineLevel="1">
      <c r="B543" s="175" t="str">
        <f>IF(OR('Inventaire M'!D316="Dispo/Liquidité Investie",'Inventaire M'!D316="Option/Future",'Inventaire M'!D316="TCN",'Inventaire M'!D316=""),"-",'Inventaire M'!A316)</f>
        <v>-</v>
      </c>
      <c r="C543" s="175" t="str">
        <f>IF(OR('Inventaire M'!D316="Dispo/Liquidité Investie",'Inventaire M'!D316="Option/Future",'Inventaire M'!D316="TCN",'Inventaire M'!D316=""),"-",'Inventaire M'!B316)</f>
        <v>-</v>
      </c>
      <c r="D543" s="175"/>
      <c r="E543" s="175" t="str">
        <f>IF(B543="-","",INDEX('Inventaire M'!$A$2:$AW$9305,MATCH(B543,'Inventaire M'!$A:$A,0)-1,MATCH("Cours EUR",'Inventaire M'!#REF!,0)))</f>
        <v/>
      </c>
      <c r="F543" s="175" t="str">
        <f>IF(B543="-","",IF(ISERROR(INDEX('Inventaire M-1'!$A$2:$AZ$9320,MATCH(B543,'Inventaire M-1'!$A:$A,0)-1,MATCH("Cours EUR",'Inventaire M-1'!#REF!,0))),"Buy",INDEX('Inventaire M-1'!$A$2:$AZ$9320,MATCH(B543,'Inventaire M-1'!$A:$A,0)-1,MATCH("Cours EUR",'Inventaire M-1'!#REF!,0))))</f>
        <v/>
      </c>
      <c r="G543" s="175"/>
      <c r="H543" s="156" t="str">
        <f>IF(B543="-","",INDEX('Inventaire M'!$A$2:$AW$9305,MATCH(B543,'Inventaire M'!$A:$A,0)-1,MATCH("quantite",'Inventaire M'!#REF!,0)))</f>
        <v/>
      </c>
      <c r="I543" s="156" t="str">
        <f>IF(C543="-","",IF(ISERROR(INDEX('Inventaire M-1'!$A$2:$AZ$9320,MATCH(B543,'Inventaire M-1'!$A:$A,0)-1,MATCH("quantite",'Inventaire M-1'!#REF!,0))),"Buy",INDEX('Inventaire M-1'!$A$2:$AZ$9320,MATCH(B543,'Inventaire M-1'!$A:$A,0)-1,MATCH("quantite",'Inventaire M-1'!#REF!,0))))</f>
        <v/>
      </c>
      <c r="J543" s="175"/>
      <c r="K543" s="155" t="str">
        <f>IF(B543="-","",INDEX('Inventaire M'!$A$2:$AW$9305,MATCH(B543,'Inventaire M'!$A:$A,0)-1,MATCH("poids",'Inventaire M'!#REF!,0)))</f>
        <v/>
      </c>
      <c r="L543" s="155" t="str">
        <f>IF(B543="-","",IF(ISERROR(INDEX('Inventaire M-1'!$A$2:$AZ$9320,MATCH(B543,'Inventaire M-1'!$A:$A,0)-1,MATCH("poids",'Inventaire M-1'!#REF!,0))),"Buy",INDEX('Inventaire M-1'!$A$2:$AZ$9320,MATCH(B543,'Inventaire M-1'!$A:$A,0)-1,MATCH("poids",'Inventaire M-1'!#REF!,0))))</f>
        <v/>
      </c>
      <c r="M543" s="175"/>
      <c r="N543" s="157" t="str">
        <f t="shared" si="61"/>
        <v>0</v>
      </c>
      <c r="O543" s="98" t="str">
        <f t="shared" si="60"/>
        <v/>
      </c>
      <c r="P543" s="80" t="str">
        <f t="shared" si="62"/>
        <v>-</v>
      </c>
      <c r="Q543" s="75">
        <v>5.1900000000000002E-8</v>
      </c>
      <c r="R543" s="175" t="str">
        <f>IF(OR('Inventaire M-1'!D295="Dispo/Liquidité Investie",'Inventaire M-1'!D295="Option/Future",'Inventaire M-1'!D295="TCN",'Inventaire M-1'!D295=""),"-",'Inventaire M-1'!A295)</f>
        <v>-</v>
      </c>
      <c r="S543" s="175" t="str">
        <f>IF(OR('Inventaire M-1'!D295="Dispo/Liquidité Investie",'Inventaire M-1'!D295="Option/Future",'Inventaire M-1'!D295="TCN",'Inventaire M-1'!D295=""),"-",'Inventaire M-1'!B295)</f>
        <v>-</v>
      </c>
      <c r="T543" s="175"/>
      <c r="U543" s="175" t="str">
        <f>IF(R543="-","",INDEX('Inventaire M-1'!$A$2:$AG$9334,MATCH(R543,'Inventaire M-1'!$A:$A,0)-1,MATCH("Cours EUR",'Inventaire M-1'!#REF!,0)))</f>
        <v/>
      </c>
      <c r="V543" s="175" t="str">
        <f>IF(R543="-","",IF(ISERROR(INDEX('Inventaire M'!$A$2:$AD$9319,MATCH(R543,'Inventaire M'!$A:$A,0)-1,MATCH("Cours EUR",'Inventaire M'!#REF!,0))),"Sell",INDEX('Inventaire M'!$A$2:$AD$9319,MATCH(R543,'Inventaire M'!$A:$A,0)-1,MATCH("Cours EUR",'Inventaire M'!#REF!,0))))</f>
        <v/>
      </c>
      <c r="W543" s="175"/>
      <c r="X543" s="156" t="str">
        <f>IF(R543="-","",INDEX('Inventaire M-1'!$A$2:$AG$9334,MATCH(R543,'Inventaire M-1'!$A:$A,0)-1,MATCH("quantite",'Inventaire M-1'!#REF!,0)))</f>
        <v/>
      </c>
      <c r="Y543" s="156" t="str">
        <f>IF(S543="-","",IF(ISERROR(INDEX('Inventaire M'!$A$2:$AD$9319,MATCH(R543,'Inventaire M'!$A:$A,0)-1,MATCH("quantite",'Inventaire M'!#REF!,0))),"Sell",INDEX('Inventaire M'!$A$2:$AD$9319,MATCH(R543,'Inventaire M'!$A:$A,0)-1,MATCH("quantite",'Inventaire M'!#REF!,0))))</f>
        <v/>
      </c>
      <c r="Z543" s="175"/>
      <c r="AA543" s="155" t="str">
        <f>IF(R543="-","",INDEX('Inventaire M-1'!$A$2:$AG$9334,MATCH(R543,'Inventaire M-1'!$A:$A,0)-1,MATCH("poids",'Inventaire M-1'!#REF!,0)))</f>
        <v/>
      </c>
      <c r="AB543" s="155" t="str">
        <f>IF(R543="-","",IF(ISERROR(INDEX('Inventaire M'!$A$2:$AD$9319,MATCH(R543,'Inventaire M'!$A:$A,0)-1,MATCH("poids",'Inventaire M'!#REF!,0))),"Sell",INDEX('Inventaire M'!$A$2:$AD$9319,MATCH(R543,'Inventaire M'!$A:$A,0)-1,MATCH("poids",'Inventaire M'!#REF!,0))))</f>
        <v/>
      </c>
      <c r="AC543" s="175"/>
      <c r="AD543" s="157" t="str">
        <f t="shared" si="63"/>
        <v>0</v>
      </c>
      <c r="AE543" s="98" t="str">
        <f t="shared" si="64"/>
        <v/>
      </c>
      <c r="AF543" s="80" t="str">
        <f t="shared" si="65"/>
        <v>-</v>
      </c>
    </row>
    <row r="544" spans="2:32" outlineLevel="1">
      <c r="B544" s="175" t="str">
        <f>IF(OR('Inventaire M'!D317="Dispo/Liquidité Investie",'Inventaire M'!D317="Option/Future",'Inventaire M'!D317="TCN",'Inventaire M'!D317=""),"-",'Inventaire M'!A317)</f>
        <v>-</v>
      </c>
      <c r="C544" s="175" t="str">
        <f>IF(OR('Inventaire M'!D317="Dispo/Liquidité Investie",'Inventaire M'!D317="Option/Future",'Inventaire M'!D317="TCN",'Inventaire M'!D317=""),"-",'Inventaire M'!B317)</f>
        <v>-</v>
      </c>
      <c r="D544" s="175"/>
      <c r="E544" s="175" t="str">
        <f>IF(B544="-","",INDEX('Inventaire M'!$A$2:$AW$9305,MATCH(B544,'Inventaire M'!$A:$A,0)-1,MATCH("Cours EUR",'Inventaire M'!#REF!,0)))</f>
        <v/>
      </c>
      <c r="F544" s="175" t="str">
        <f>IF(B544="-","",IF(ISERROR(INDEX('Inventaire M-1'!$A$2:$AZ$9320,MATCH(B544,'Inventaire M-1'!$A:$A,0)-1,MATCH("Cours EUR",'Inventaire M-1'!#REF!,0))),"Buy",INDEX('Inventaire M-1'!$A$2:$AZ$9320,MATCH(B544,'Inventaire M-1'!$A:$A,0)-1,MATCH("Cours EUR",'Inventaire M-1'!#REF!,0))))</f>
        <v/>
      </c>
      <c r="G544" s="175"/>
      <c r="H544" s="156" t="str">
        <f>IF(B544="-","",INDEX('Inventaire M'!$A$2:$AW$9305,MATCH(B544,'Inventaire M'!$A:$A,0)-1,MATCH("quantite",'Inventaire M'!#REF!,0)))</f>
        <v/>
      </c>
      <c r="I544" s="156" t="str">
        <f>IF(C544="-","",IF(ISERROR(INDEX('Inventaire M-1'!$A$2:$AZ$9320,MATCH(B544,'Inventaire M-1'!$A:$A,0)-1,MATCH("quantite",'Inventaire M-1'!#REF!,0))),"Buy",INDEX('Inventaire M-1'!$A$2:$AZ$9320,MATCH(B544,'Inventaire M-1'!$A:$A,0)-1,MATCH("quantite",'Inventaire M-1'!#REF!,0))))</f>
        <v/>
      </c>
      <c r="J544" s="175"/>
      <c r="K544" s="155" t="str">
        <f>IF(B544="-","",INDEX('Inventaire M'!$A$2:$AW$9305,MATCH(B544,'Inventaire M'!$A:$A,0)-1,MATCH("poids",'Inventaire M'!#REF!,0)))</f>
        <v/>
      </c>
      <c r="L544" s="155" t="str">
        <f>IF(B544="-","",IF(ISERROR(INDEX('Inventaire M-1'!$A$2:$AZ$9320,MATCH(B544,'Inventaire M-1'!$A:$A,0)-1,MATCH("poids",'Inventaire M-1'!#REF!,0))),"Buy",INDEX('Inventaire M-1'!$A$2:$AZ$9320,MATCH(B544,'Inventaire M-1'!$A:$A,0)-1,MATCH("poids",'Inventaire M-1'!#REF!,0))))</f>
        <v/>
      </c>
      <c r="M544" s="175"/>
      <c r="N544" s="157" t="str">
        <f t="shared" si="61"/>
        <v>0</v>
      </c>
      <c r="O544" s="98" t="str">
        <f t="shared" si="60"/>
        <v/>
      </c>
      <c r="P544" s="80" t="str">
        <f t="shared" si="62"/>
        <v>-</v>
      </c>
      <c r="Q544" s="75">
        <v>5.2000000000000002E-8</v>
      </c>
      <c r="R544" s="175" t="str">
        <f>IF(OR('Inventaire M-1'!D296="Dispo/Liquidité Investie",'Inventaire M-1'!D296="Option/Future",'Inventaire M-1'!D296="TCN",'Inventaire M-1'!D296=""),"-",'Inventaire M-1'!A296)</f>
        <v>-</v>
      </c>
      <c r="S544" s="175" t="str">
        <f>IF(OR('Inventaire M-1'!D296="Dispo/Liquidité Investie",'Inventaire M-1'!D296="Option/Future",'Inventaire M-1'!D296="TCN",'Inventaire M-1'!D296=""),"-",'Inventaire M-1'!B296)</f>
        <v>-</v>
      </c>
      <c r="T544" s="175"/>
      <c r="U544" s="175" t="str">
        <f>IF(R544="-","",INDEX('Inventaire M-1'!$A$2:$AG$9334,MATCH(R544,'Inventaire M-1'!$A:$A,0)-1,MATCH("Cours EUR",'Inventaire M-1'!#REF!,0)))</f>
        <v/>
      </c>
      <c r="V544" s="175" t="str">
        <f>IF(R544="-","",IF(ISERROR(INDEX('Inventaire M'!$A$2:$AD$9319,MATCH(R544,'Inventaire M'!$A:$A,0)-1,MATCH("Cours EUR",'Inventaire M'!#REF!,0))),"Sell",INDEX('Inventaire M'!$A$2:$AD$9319,MATCH(R544,'Inventaire M'!$A:$A,0)-1,MATCH("Cours EUR",'Inventaire M'!#REF!,0))))</f>
        <v/>
      </c>
      <c r="W544" s="175"/>
      <c r="X544" s="156" t="str">
        <f>IF(R544="-","",INDEX('Inventaire M-1'!$A$2:$AG$9334,MATCH(R544,'Inventaire M-1'!$A:$A,0)-1,MATCH("quantite",'Inventaire M-1'!#REF!,0)))</f>
        <v/>
      </c>
      <c r="Y544" s="156" t="str">
        <f>IF(S544="-","",IF(ISERROR(INDEX('Inventaire M'!$A$2:$AD$9319,MATCH(R544,'Inventaire M'!$A:$A,0)-1,MATCH("quantite",'Inventaire M'!#REF!,0))),"Sell",INDEX('Inventaire M'!$A$2:$AD$9319,MATCH(R544,'Inventaire M'!$A:$A,0)-1,MATCH("quantite",'Inventaire M'!#REF!,0))))</f>
        <v/>
      </c>
      <c r="Z544" s="175"/>
      <c r="AA544" s="155" t="str">
        <f>IF(R544="-","",INDEX('Inventaire M-1'!$A$2:$AG$9334,MATCH(R544,'Inventaire M-1'!$A:$A,0)-1,MATCH("poids",'Inventaire M-1'!#REF!,0)))</f>
        <v/>
      </c>
      <c r="AB544" s="155" t="str">
        <f>IF(R544="-","",IF(ISERROR(INDEX('Inventaire M'!$A$2:$AD$9319,MATCH(R544,'Inventaire M'!$A:$A,0)-1,MATCH("poids",'Inventaire M'!#REF!,0))),"Sell",INDEX('Inventaire M'!$A$2:$AD$9319,MATCH(R544,'Inventaire M'!$A:$A,0)-1,MATCH("poids",'Inventaire M'!#REF!,0))))</f>
        <v/>
      </c>
      <c r="AC544" s="175"/>
      <c r="AD544" s="157" t="str">
        <f t="shared" si="63"/>
        <v>0</v>
      </c>
      <c r="AE544" s="98" t="str">
        <f t="shared" si="64"/>
        <v/>
      </c>
      <c r="AF544" s="80" t="str">
        <f t="shared" si="65"/>
        <v>-</v>
      </c>
    </row>
    <row r="545" spans="2:32" outlineLevel="1">
      <c r="B545" s="175" t="str">
        <f>IF(OR('Inventaire M'!D318="Dispo/Liquidité Investie",'Inventaire M'!D318="Option/Future",'Inventaire M'!D318="TCN",'Inventaire M'!D318=""),"-",'Inventaire M'!A318)</f>
        <v>-</v>
      </c>
      <c r="C545" s="175" t="str">
        <f>IF(OR('Inventaire M'!D318="Dispo/Liquidité Investie",'Inventaire M'!D318="Option/Future",'Inventaire M'!D318="TCN",'Inventaire M'!D318=""),"-",'Inventaire M'!B318)</f>
        <v>-</v>
      </c>
      <c r="D545" s="175"/>
      <c r="E545" s="175" t="str">
        <f>IF(B545="-","",INDEX('Inventaire M'!$A$2:$AW$9305,MATCH(B545,'Inventaire M'!$A:$A,0)-1,MATCH("Cours EUR",'Inventaire M'!#REF!,0)))</f>
        <v/>
      </c>
      <c r="F545" s="175" t="str">
        <f>IF(B545="-","",IF(ISERROR(INDEX('Inventaire M-1'!$A$2:$AZ$9320,MATCH(B545,'Inventaire M-1'!$A:$A,0)-1,MATCH("Cours EUR",'Inventaire M-1'!#REF!,0))),"Buy",INDEX('Inventaire M-1'!$A$2:$AZ$9320,MATCH(B545,'Inventaire M-1'!$A:$A,0)-1,MATCH("Cours EUR",'Inventaire M-1'!#REF!,0))))</f>
        <v/>
      </c>
      <c r="G545" s="175"/>
      <c r="H545" s="156" t="str">
        <f>IF(B545="-","",INDEX('Inventaire M'!$A$2:$AW$9305,MATCH(B545,'Inventaire M'!$A:$A,0)-1,MATCH("quantite",'Inventaire M'!#REF!,0)))</f>
        <v/>
      </c>
      <c r="I545" s="156" t="str">
        <f>IF(C545="-","",IF(ISERROR(INDEX('Inventaire M-1'!$A$2:$AZ$9320,MATCH(B545,'Inventaire M-1'!$A:$A,0)-1,MATCH("quantite",'Inventaire M-1'!#REF!,0))),"Buy",INDEX('Inventaire M-1'!$A$2:$AZ$9320,MATCH(B545,'Inventaire M-1'!$A:$A,0)-1,MATCH("quantite",'Inventaire M-1'!#REF!,0))))</f>
        <v/>
      </c>
      <c r="J545" s="175"/>
      <c r="K545" s="155" t="str">
        <f>IF(B545="-","",INDEX('Inventaire M'!$A$2:$AW$9305,MATCH(B545,'Inventaire M'!$A:$A,0)-1,MATCH("poids",'Inventaire M'!#REF!,0)))</f>
        <v/>
      </c>
      <c r="L545" s="155" t="str">
        <f>IF(B545="-","",IF(ISERROR(INDEX('Inventaire M-1'!$A$2:$AZ$9320,MATCH(B545,'Inventaire M-1'!$A:$A,0)-1,MATCH("poids",'Inventaire M-1'!#REF!,0))),"Buy",INDEX('Inventaire M-1'!$A$2:$AZ$9320,MATCH(B545,'Inventaire M-1'!$A:$A,0)-1,MATCH("poids",'Inventaire M-1'!#REF!,0))))</f>
        <v/>
      </c>
      <c r="M545" s="175"/>
      <c r="N545" s="157" t="str">
        <f t="shared" si="61"/>
        <v>0</v>
      </c>
      <c r="O545" s="98" t="str">
        <f t="shared" si="60"/>
        <v/>
      </c>
      <c r="P545" s="80" t="str">
        <f t="shared" si="62"/>
        <v>-</v>
      </c>
      <c r="Q545" s="75">
        <v>5.2100000000000003E-8</v>
      </c>
      <c r="R545" s="175" t="str">
        <f>IF(OR('Inventaire M-1'!D297="Dispo/Liquidité Investie",'Inventaire M-1'!D297="Option/Future",'Inventaire M-1'!D297="TCN",'Inventaire M-1'!D297=""),"-",'Inventaire M-1'!A297)</f>
        <v>-</v>
      </c>
      <c r="S545" s="175" t="str">
        <f>IF(OR('Inventaire M-1'!D297="Dispo/Liquidité Investie",'Inventaire M-1'!D297="Option/Future",'Inventaire M-1'!D297="TCN",'Inventaire M-1'!D297=""),"-",'Inventaire M-1'!B297)</f>
        <v>-</v>
      </c>
      <c r="T545" s="175"/>
      <c r="U545" s="175" t="str">
        <f>IF(R545="-","",INDEX('Inventaire M-1'!$A$2:$AG$9334,MATCH(R545,'Inventaire M-1'!$A:$A,0)-1,MATCH("Cours EUR",'Inventaire M-1'!#REF!,0)))</f>
        <v/>
      </c>
      <c r="V545" s="175" t="str">
        <f>IF(R545="-","",IF(ISERROR(INDEX('Inventaire M'!$A$2:$AD$9319,MATCH(R545,'Inventaire M'!$A:$A,0)-1,MATCH("Cours EUR",'Inventaire M'!#REF!,0))),"Sell",INDEX('Inventaire M'!$A$2:$AD$9319,MATCH(R545,'Inventaire M'!$A:$A,0)-1,MATCH("Cours EUR",'Inventaire M'!#REF!,0))))</f>
        <v/>
      </c>
      <c r="W545" s="175"/>
      <c r="X545" s="156" t="str">
        <f>IF(R545="-","",INDEX('Inventaire M-1'!$A$2:$AG$9334,MATCH(R545,'Inventaire M-1'!$A:$A,0)-1,MATCH("quantite",'Inventaire M-1'!#REF!,0)))</f>
        <v/>
      </c>
      <c r="Y545" s="156" t="str">
        <f>IF(S545="-","",IF(ISERROR(INDEX('Inventaire M'!$A$2:$AD$9319,MATCH(R545,'Inventaire M'!$A:$A,0)-1,MATCH("quantite",'Inventaire M'!#REF!,0))),"Sell",INDEX('Inventaire M'!$A$2:$AD$9319,MATCH(R545,'Inventaire M'!$A:$A,0)-1,MATCH("quantite",'Inventaire M'!#REF!,0))))</f>
        <v/>
      </c>
      <c r="Z545" s="175"/>
      <c r="AA545" s="155" t="str">
        <f>IF(R545="-","",INDEX('Inventaire M-1'!$A$2:$AG$9334,MATCH(R545,'Inventaire M-1'!$A:$A,0)-1,MATCH("poids",'Inventaire M-1'!#REF!,0)))</f>
        <v/>
      </c>
      <c r="AB545" s="155" t="str">
        <f>IF(R545="-","",IF(ISERROR(INDEX('Inventaire M'!$A$2:$AD$9319,MATCH(R545,'Inventaire M'!$A:$A,0)-1,MATCH("poids",'Inventaire M'!#REF!,0))),"Sell",INDEX('Inventaire M'!$A$2:$AD$9319,MATCH(R545,'Inventaire M'!$A:$A,0)-1,MATCH("poids",'Inventaire M'!#REF!,0))))</f>
        <v/>
      </c>
      <c r="AC545" s="175"/>
      <c r="AD545" s="157" t="str">
        <f t="shared" si="63"/>
        <v>0</v>
      </c>
      <c r="AE545" s="98" t="str">
        <f t="shared" si="64"/>
        <v/>
      </c>
      <c r="AF545" s="80" t="str">
        <f t="shared" si="65"/>
        <v>-</v>
      </c>
    </row>
    <row r="546" spans="2:32" outlineLevel="1">
      <c r="B546" s="175" t="str">
        <f>IF(OR('Inventaire M'!D319="Dispo/Liquidité Investie",'Inventaire M'!D319="Option/Future",'Inventaire M'!D319="TCN",'Inventaire M'!D319=""),"-",'Inventaire M'!A319)</f>
        <v>-</v>
      </c>
      <c r="C546" s="175" t="str">
        <f>IF(OR('Inventaire M'!D319="Dispo/Liquidité Investie",'Inventaire M'!D319="Option/Future",'Inventaire M'!D319="TCN",'Inventaire M'!D319=""),"-",'Inventaire M'!B319)</f>
        <v>-</v>
      </c>
      <c r="D546" s="175"/>
      <c r="E546" s="175" t="str">
        <f>IF(B546="-","",INDEX('Inventaire M'!$A$2:$AW$9305,MATCH(B546,'Inventaire M'!$A:$A,0)-1,MATCH("Cours EUR",'Inventaire M'!#REF!,0)))</f>
        <v/>
      </c>
      <c r="F546" s="175" t="str">
        <f>IF(B546="-","",IF(ISERROR(INDEX('Inventaire M-1'!$A$2:$AZ$9320,MATCH(B546,'Inventaire M-1'!$A:$A,0)-1,MATCH("Cours EUR",'Inventaire M-1'!#REF!,0))),"Buy",INDEX('Inventaire M-1'!$A$2:$AZ$9320,MATCH(B546,'Inventaire M-1'!$A:$A,0)-1,MATCH("Cours EUR",'Inventaire M-1'!#REF!,0))))</f>
        <v/>
      </c>
      <c r="G546" s="175"/>
      <c r="H546" s="156" t="str">
        <f>IF(B546="-","",INDEX('Inventaire M'!$A$2:$AW$9305,MATCH(B546,'Inventaire M'!$A:$A,0)-1,MATCH("quantite",'Inventaire M'!#REF!,0)))</f>
        <v/>
      </c>
      <c r="I546" s="156" t="str">
        <f>IF(C546="-","",IF(ISERROR(INDEX('Inventaire M-1'!$A$2:$AZ$9320,MATCH(B546,'Inventaire M-1'!$A:$A,0)-1,MATCH("quantite",'Inventaire M-1'!#REF!,0))),"Buy",INDEX('Inventaire M-1'!$A$2:$AZ$9320,MATCH(B546,'Inventaire M-1'!$A:$A,0)-1,MATCH("quantite",'Inventaire M-1'!#REF!,0))))</f>
        <v/>
      </c>
      <c r="J546" s="175"/>
      <c r="K546" s="155" t="str">
        <f>IF(B546="-","",INDEX('Inventaire M'!$A$2:$AW$9305,MATCH(B546,'Inventaire M'!$A:$A,0)-1,MATCH("poids",'Inventaire M'!#REF!,0)))</f>
        <v/>
      </c>
      <c r="L546" s="155" t="str">
        <f>IF(B546="-","",IF(ISERROR(INDEX('Inventaire M-1'!$A$2:$AZ$9320,MATCH(B546,'Inventaire M-1'!$A:$A,0)-1,MATCH("poids",'Inventaire M-1'!#REF!,0))),"Buy",INDEX('Inventaire M-1'!$A$2:$AZ$9320,MATCH(B546,'Inventaire M-1'!$A:$A,0)-1,MATCH("poids",'Inventaire M-1'!#REF!,0))))</f>
        <v/>
      </c>
      <c r="M546" s="175"/>
      <c r="N546" s="157" t="str">
        <f t="shared" si="61"/>
        <v>0</v>
      </c>
      <c r="O546" s="98" t="str">
        <f t="shared" si="60"/>
        <v/>
      </c>
      <c r="P546" s="80" t="str">
        <f t="shared" si="62"/>
        <v>-</v>
      </c>
      <c r="Q546" s="75">
        <v>5.2199999999999998E-8</v>
      </c>
      <c r="R546" s="175" t="str">
        <f>IF(OR('Inventaire M-1'!D298="Dispo/Liquidité Investie",'Inventaire M-1'!D298="Option/Future",'Inventaire M-1'!D298="TCN",'Inventaire M-1'!D298=""),"-",'Inventaire M-1'!A298)</f>
        <v>-</v>
      </c>
      <c r="S546" s="175" t="str">
        <f>IF(OR('Inventaire M-1'!D298="Dispo/Liquidité Investie",'Inventaire M-1'!D298="Option/Future",'Inventaire M-1'!D298="TCN",'Inventaire M-1'!D298=""),"-",'Inventaire M-1'!B298)</f>
        <v>-</v>
      </c>
      <c r="T546" s="175"/>
      <c r="U546" s="175" t="str">
        <f>IF(R546="-","",INDEX('Inventaire M-1'!$A$2:$AG$9334,MATCH(R546,'Inventaire M-1'!$A:$A,0)-1,MATCH("Cours EUR",'Inventaire M-1'!#REF!,0)))</f>
        <v/>
      </c>
      <c r="V546" s="175" t="str">
        <f>IF(R546="-","",IF(ISERROR(INDEX('Inventaire M'!$A$2:$AD$9319,MATCH(R546,'Inventaire M'!$A:$A,0)-1,MATCH("Cours EUR",'Inventaire M'!#REF!,0))),"Sell",INDEX('Inventaire M'!$A$2:$AD$9319,MATCH(R546,'Inventaire M'!$A:$A,0)-1,MATCH("Cours EUR",'Inventaire M'!#REF!,0))))</f>
        <v/>
      </c>
      <c r="W546" s="175"/>
      <c r="X546" s="156" t="str">
        <f>IF(R546="-","",INDEX('Inventaire M-1'!$A$2:$AG$9334,MATCH(R546,'Inventaire M-1'!$A:$A,0)-1,MATCH("quantite",'Inventaire M-1'!#REF!,0)))</f>
        <v/>
      </c>
      <c r="Y546" s="156" t="str">
        <f>IF(S546="-","",IF(ISERROR(INDEX('Inventaire M'!$A$2:$AD$9319,MATCH(R546,'Inventaire M'!$A:$A,0)-1,MATCH("quantite",'Inventaire M'!#REF!,0))),"Sell",INDEX('Inventaire M'!$A$2:$AD$9319,MATCH(R546,'Inventaire M'!$A:$A,0)-1,MATCH("quantite",'Inventaire M'!#REF!,0))))</f>
        <v/>
      </c>
      <c r="Z546" s="175"/>
      <c r="AA546" s="155" t="str">
        <f>IF(R546="-","",INDEX('Inventaire M-1'!$A$2:$AG$9334,MATCH(R546,'Inventaire M-1'!$A:$A,0)-1,MATCH("poids",'Inventaire M-1'!#REF!,0)))</f>
        <v/>
      </c>
      <c r="AB546" s="155" t="str">
        <f>IF(R546="-","",IF(ISERROR(INDEX('Inventaire M'!$A$2:$AD$9319,MATCH(R546,'Inventaire M'!$A:$A,0)-1,MATCH("poids",'Inventaire M'!#REF!,0))),"Sell",INDEX('Inventaire M'!$A$2:$AD$9319,MATCH(R546,'Inventaire M'!$A:$A,0)-1,MATCH("poids",'Inventaire M'!#REF!,0))))</f>
        <v/>
      </c>
      <c r="AC546" s="175"/>
      <c r="AD546" s="157" t="str">
        <f t="shared" si="63"/>
        <v>0</v>
      </c>
      <c r="AE546" s="98" t="str">
        <f t="shared" si="64"/>
        <v/>
      </c>
      <c r="AF546" s="80" t="str">
        <f t="shared" si="65"/>
        <v>-</v>
      </c>
    </row>
    <row r="547" spans="2:32" outlineLevel="1">
      <c r="B547" s="175" t="str">
        <f>IF(OR('Inventaire M'!D320="Dispo/Liquidité Investie",'Inventaire M'!D320="Option/Future",'Inventaire M'!D320="TCN",'Inventaire M'!D320=""),"-",'Inventaire M'!A320)</f>
        <v>-</v>
      </c>
      <c r="C547" s="175" t="str">
        <f>IF(OR('Inventaire M'!D320="Dispo/Liquidité Investie",'Inventaire M'!D320="Option/Future",'Inventaire M'!D320="TCN",'Inventaire M'!D320=""),"-",'Inventaire M'!B320)</f>
        <v>-</v>
      </c>
      <c r="D547" s="175"/>
      <c r="E547" s="175" t="str">
        <f>IF(B547="-","",INDEX('Inventaire M'!$A$2:$AW$9305,MATCH(B547,'Inventaire M'!$A:$A,0)-1,MATCH("Cours EUR",'Inventaire M'!#REF!,0)))</f>
        <v/>
      </c>
      <c r="F547" s="175" t="str">
        <f>IF(B547="-","",IF(ISERROR(INDEX('Inventaire M-1'!$A$2:$AZ$9320,MATCH(B547,'Inventaire M-1'!$A:$A,0)-1,MATCH("Cours EUR",'Inventaire M-1'!#REF!,0))),"Buy",INDEX('Inventaire M-1'!$A$2:$AZ$9320,MATCH(B547,'Inventaire M-1'!$A:$A,0)-1,MATCH("Cours EUR",'Inventaire M-1'!#REF!,0))))</f>
        <v/>
      </c>
      <c r="G547" s="175"/>
      <c r="H547" s="156" t="str">
        <f>IF(B547="-","",INDEX('Inventaire M'!$A$2:$AW$9305,MATCH(B547,'Inventaire M'!$A:$A,0)-1,MATCH("quantite",'Inventaire M'!#REF!,0)))</f>
        <v/>
      </c>
      <c r="I547" s="156" t="str">
        <f>IF(C547="-","",IF(ISERROR(INDEX('Inventaire M-1'!$A$2:$AZ$9320,MATCH(B547,'Inventaire M-1'!$A:$A,0)-1,MATCH("quantite",'Inventaire M-1'!#REF!,0))),"Buy",INDEX('Inventaire M-1'!$A$2:$AZ$9320,MATCH(B547,'Inventaire M-1'!$A:$A,0)-1,MATCH("quantite",'Inventaire M-1'!#REF!,0))))</f>
        <v/>
      </c>
      <c r="J547" s="175"/>
      <c r="K547" s="155" t="str">
        <f>IF(B547="-","",INDEX('Inventaire M'!$A$2:$AW$9305,MATCH(B547,'Inventaire M'!$A:$A,0)-1,MATCH("poids",'Inventaire M'!#REF!,0)))</f>
        <v/>
      </c>
      <c r="L547" s="155" t="str">
        <f>IF(B547="-","",IF(ISERROR(INDEX('Inventaire M-1'!$A$2:$AZ$9320,MATCH(B547,'Inventaire M-1'!$A:$A,0)-1,MATCH("poids",'Inventaire M-1'!#REF!,0))),"Buy",INDEX('Inventaire M-1'!$A$2:$AZ$9320,MATCH(B547,'Inventaire M-1'!$A:$A,0)-1,MATCH("poids",'Inventaire M-1'!#REF!,0))))</f>
        <v/>
      </c>
      <c r="M547" s="175"/>
      <c r="N547" s="157" t="str">
        <f t="shared" si="61"/>
        <v>0</v>
      </c>
      <c r="O547" s="98" t="str">
        <f t="shared" si="60"/>
        <v/>
      </c>
      <c r="P547" s="80" t="str">
        <f t="shared" si="62"/>
        <v>-</v>
      </c>
      <c r="Q547" s="75">
        <v>5.2299999999999998E-8</v>
      </c>
      <c r="R547" s="175" t="str">
        <f>IF(OR('Inventaire M-1'!D299="Dispo/Liquidité Investie",'Inventaire M-1'!D299="Option/Future",'Inventaire M-1'!D299="TCN",'Inventaire M-1'!D299=""),"-",'Inventaire M-1'!A299)</f>
        <v>-</v>
      </c>
      <c r="S547" s="175" t="str">
        <f>IF(OR('Inventaire M-1'!D299="Dispo/Liquidité Investie",'Inventaire M-1'!D299="Option/Future",'Inventaire M-1'!D299="TCN",'Inventaire M-1'!D299=""),"-",'Inventaire M-1'!B299)</f>
        <v>-</v>
      </c>
      <c r="T547" s="175"/>
      <c r="U547" s="175" t="str">
        <f>IF(R547="-","",INDEX('Inventaire M-1'!$A$2:$AG$9334,MATCH(R547,'Inventaire M-1'!$A:$A,0)-1,MATCH("Cours EUR",'Inventaire M-1'!#REF!,0)))</f>
        <v/>
      </c>
      <c r="V547" s="175" t="str">
        <f>IF(R547="-","",IF(ISERROR(INDEX('Inventaire M'!$A$2:$AD$9319,MATCH(R547,'Inventaire M'!$A:$A,0)-1,MATCH("Cours EUR",'Inventaire M'!#REF!,0))),"Sell",INDEX('Inventaire M'!$A$2:$AD$9319,MATCH(R547,'Inventaire M'!$A:$A,0)-1,MATCH("Cours EUR",'Inventaire M'!#REF!,0))))</f>
        <v/>
      </c>
      <c r="W547" s="175"/>
      <c r="X547" s="156" t="str">
        <f>IF(R547="-","",INDEX('Inventaire M-1'!$A$2:$AG$9334,MATCH(R547,'Inventaire M-1'!$A:$A,0)-1,MATCH("quantite",'Inventaire M-1'!#REF!,0)))</f>
        <v/>
      </c>
      <c r="Y547" s="156" t="str">
        <f>IF(S547="-","",IF(ISERROR(INDEX('Inventaire M'!$A$2:$AD$9319,MATCH(R547,'Inventaire M'!$A:$A,0)-1,MATCH("quantite",'Inventaire M'!#REF!,0))),"Sell",INDEX('Inventaire M'!$A$2:$AD$9319,MATCH(R547,'Inventaire M'!$A:$A,0)-1,MATCH("quantite",'Inventaire M'!#REF!,0))))</f>
        <v/>
      </c>
      <c r="Z547" s="175"/>
      <c r="AA547" s="155" t="str">
        <f>IF(R547="-","",INDEX('Inventaire M-1'!$A$2:$AG$9334,MATCH(R547,'Inventaire M-1'!$A:$A,0)-1,MATCH("poids",'Inventaire M-1'!#REF!,0)))</f>
        <v/>
      </c>
      <c r="AB547" s="155" t="str">
        <f>IF(R547="-","",IF(ISERROR(INDEX('Inventaire M'!$A$2:$AD$9319,MATCH(R547,'Inventaire M'!$A:$A,0)-1,MATCH("poids",'Inventaire M'!#REF!,0))),"Sell",INDEX('Inventaire M'!$A$2:$AD$9319,MATCH(R547,'Inventaire M'!$A:$A,0)-1,MATCH("poids",'Inventaire M'!#REF!,0))))</f>
        <v/>
      </c>
      <c r="AC547" s="175"/>
      <c r="AD547" s="157" t="str">
        <f t="shared" si="63"/>
        <v>0</v>
      </c>
      <c r="AE547" s="98" t="str">
        <f t="shared" si="64"/>
        <v/>
      </c>
      <c r="AF547" s="80" t="str">
        <f t="shared" si="65"/>
        <v>-</v>
      </c>
    </row>
    <row r="548" spans="2:32" outlineLevel="1">
      <c r="B548" s="175" t="str">
        <f>IF(OR('Inventaire M'!D321="Dispo/Liquidité Investie",'Inventaire M'!D321="Option/Future",'Inventaire M'!D321="TCN",'Inventaire M'!D321=""),"-",'Inventaire M'!A321)</f>
        <v>-</v>
      </c>
      <c r="C548" s="175" t="str">
        <f>IF(OR('Inventaire M'!D321="Dispo/Liquidité Investie",'Inventaire M'!D321="Option/Future",'Inventaire M'!D321="TCN",'Inventaire M'!D321=""),"-",'Inventaire M'!B321)</f>
        <v>-</v>
      </c>
      <c r="D548" s="175"/>
      <c r="E548" s="175" t="str">
        <f>IF(B548="-","",INDEX('Inventaire M'!$A$2:$AW$9305,MATCH(B548,'Inventaire M'!$A:$A,0)-1,MATCH("Cours EUR",'Inventaire M'!#REF!,0)))</f>
        <v/>
      </c>
      <c r="F548" s="175" t="str">
        <f>IF(B548="-","",IF(ISERROR(INDEX('Inventaire M-1'!$A$2:$AZ$9320,MATCH(B548,'Inventaire M-1'!$A:$A,0)-1,MATCH("Cours EUR",'Inventaire M-1'!#REF!,0))),"Buy",INDEX('Inventaire M-1'!$A$2:$AZ$9320,MATCH(B548,'Inventaire M-1'!$A:$A,0)-1,MATCH("Cours EUR",'Inventaire M-1'!#REF!,0))))</f>
        <v/>
      </c>
      <c r="G548" s="175"/>
      <c r="H548" s="156" t="str">
        <f>IF(B548="-","",INDEX('Inventaire M'!$A$2:$AW$9305,MATCH(B548,'Inventaire M'!$A:$A,0)-1,MATCH("quantite",'Inventaire M'!#REF!,0)))</f>
        <v/>
      </c>
      <c r="I548" s="156" t="str">
        <f>IF(C548="-","",IF(ISERROR(INDEX('Inventaire M-1'!$A$2:$AZ$9320,MATCH(B548,'Inventaire M-1'!$A:$A,0)-1,MATCH("quantite",'Inventaire M-1'!#REF!,0))),"Buy",INDEX('Inventaire M-1'!$A$2:$AZ$9320,MATCH(B548,'Inventaire M-1'!$A:$A,0)-1,MATCH("quantite",'Inventaire M-1'!#REF!,0))))</f>
        <v/>
      </c>
      <c r="J548" s="175"/>
      <c r="K548" s="155" t="str">
        <f>IF(B548="-","",INDEX('Inventaire M'!$A$2:$AW$9305,MATCH(B548,'Inventaire M'!$A:$A,0)-1,MATCH("poids",'Inventaire M'!#REF!,0)))</f>
        <v/>
      </c>
      <c r="L548" s="155" t="str">
        <f>IF(B548="-","",IF(ISERROR(INDEX('Inventaire M-1'!$A$2:$AZ$9320,MATCH(B548,'Inventaire M-1'!$A:$A,0)-1,MATCH("poids",'Inventaire M-1'!#REF!,0))),"Buy",INDEX('Inventaire M-1'!$A$2:$AZ$9320,MATCH(B548,'Inventaire M-1'!$A:$A,0)-1,MATCH("poids",'Inventaire M-1'!#REF!,0))))</f>
        <v/>
      </c>
      <c r="M548" s="175"/>
      <c r="N548" s="157" t="str">
        <f t="shared" si="61"/>
        <v>0</v>
      </c>
      <c r="O548" s="98" t="str">
        <f t="shared" si="60"/>
        <v/>
      </c>
      <c r="P548" s="80" t="str">
        <f t="shared" si="62"/>
        <v>-</v>
      </c>
      <c r="Q548" s="75">
        <v>5.2399999999999999E-8</v>
      </c>
      <c r="R548" s="175" t="str">
        <f>IF(OR('Inventaire M-1'!D300="Dispo/Liquidité Investie",'Inventaire M-1'!D300="Option/Future",'Inventaire M-1'!D300="TCN",'Inventaire M-1'!D300=""),"-",'Inventaire M-1'!A300)</f>
        <v>-</v>
      </c>
      <c r="S548" s="175" t="str">
        <f>IF(OR('Inventaire M-1'!D300="Dispo/Liquidité Investie",'Inventaire M-1'!D300="Option/Future",'Inventaire M-1'!D300="TCN",'Inventaire M-1'!D300=""),"-",'Inventaire M-1'!B300)</f>
        <v>-</v>
      </c>
      <c r="T548" s="175"/>
      <c r="U548" s="175" t="str">
        <f>IF(R548="-","",INDEX('Inventaire M-1'!$A$2:$AG$9334,MATCH(R548,'Inventaire M-1'!$A:$A,0)-1,MATCH("Cours EUR",'Inventaire M-1'!#REF!,0)))</f>
        <v/>
      </c>
      <c r="V548" s="175" t="str">
        <f>IF(R548="-","",IF(ISERROR(INDEX('Inventaire M'!$A$2:$AD$9319,MATCH(R548,'Inventaire M'!$A:$A,0)-1,MATCH("Cours EUR",'Inventaire M'!#REF!,0))),"Sell",INDEX('Inventaire M'!$A$2:$AD$9319,MATCH(R548,'Inventaire M'!$A:$A,0)-1,MATCH("Cours EUR",'Inventaire M'!#REF!,0))))</f>
        <v/>
      </c>
      <c r="W548" s="175"/>
      <c r="X548" s="156" t="str">
        <f>IF(R548="-","",INDEX('Inventaire M-1'!$A$2:$AG$9334,MATCH(R548,'Inventaire M-1'!$A:$A,0)-1,MATCH("quantite",'Inventaire M-1'!#REF!,0)))</f>
        <v/>
      </c>
      <c r="Y548" s="156" t="str">
        <f>IF(S548="-","",IF(ISERROR(INDEX('Inventaire M'!$A$2:$AD$9319,MATCH(R548,'Inventaire M'!$A:$A,0)-1,MATCH("quantite",'Inventaire M'!#REF!,0))),"Sell",INDEX('Inventaire M'!$A$2:$AD$9319,MATCH(R548,'Inventaire M'!$A:$A,0)-1,MATCH("quantite",'Inventaire M'!#REF!,0))))</f>
        <v/>
      </c>
      <c r="Z548" s="175"/>
      <c r="AA548" s="155" t="str">
        <f>IF(R548="-","",INDEX('Inventaire M-1'!$A$2:$AG$9334,MATCH(R548,'Inventaire M-1'!$A:$A,0)-1,MATCH("poids",'Inventaire M-1'!#REF!,0)))</f>
        <v/>
      </c>
      <c r="AB548" s="155" t="str">
        <f>IF(R548="-","",IF(ISERROR(INDEX('Inventaire M'!$A$2:$AD$9319,MATCH(R548,'Inventaire M'!$A:$A,0)-1,MATCH("poids",'Inventaire M'!#REF!,0))),"Sell",INDEX('Inventaire M'!$A$2:$AD$9319,MATCH(R548,'Inventaire M'!$A:$A,0)-1,MATCH("poids",'Inventaire M'!#REF!,0))))</f>
        <v/>
      </c>
      <c r="AC548" s="175"/>
      <c r="AD548" s="157" t="str">
        <f t="shared" si="63"/>
        <v>0</v>
      </c>
      <c r="AE548" s="98" t="str">
        <f t="shared" si="64"/>
        <v/>
      </c>
      <c r="AF548" s="80" t="str">
        <f t="shared" si="65"/>
        <v>-</v>
      </c>
    </row>
    <row r="549" spans="2:32" outlineLevel="1">
      <c r="B549" s="175" t="str">
        <f>IF(OR('Inventaire M'!D322="Dispo/Liquidité Investie",'Inventaire M'!D322="Option/Future",'Inventaire M'!D322="TCN",'Inventaire M'!D322=""),"-",'Inventaire M'!A322)</f>
        <v>-</v>
      </c>
      <c r="C549" s="175" t="str">
        <f>IF(OR('Inventaire M'!D322="Dispo/Liquidité Investie",'Inventaire M'!D322="Option/Future",'Inventaire M'!D322="TCN",'Inventaire M'!D322=""),"-",'Inventaire M'!B322)</f>
        <v>-</v>
      </c>
      <c r="D549" s="175"/>
      <c r="E549" s="175" t="str">
        <f>IF(B549="-","",INDEX('Inventaire M'!$A$2:$AW$9305,MATCH(B549,'Inventaire M'!$A:$A,0)-1,MATCH("Cours EUR",'Inventaire M'!#REF!,0)))</f>
        <v/>
      </c>
      <c r="F549" s="175" t="str">
        <f>IF(B549="-","",IF(ISERROR(INDEX('Inventaire M-1'!$A$2:$AZ$9320,MATCH(B549,'Inventaire M-1'!$A:$A,0)-1,MATCH("Cours EUR",'Inventaire M-1'!#REF!,0))),"Buy",INDEX('Inventaire M-1'!$A$2:$AZ$9320,MATCH(B549,'Inventaire M-1'!$A:$A,0)-1,MATCH("Cours EUR",'Inventaire M-1'!#REF!,0))))</f>
        <v/>
      </c>
      <c r="G549" s="175"/>
      <c r="H549" s="156" t="str">
        <f>IF(B549="-","",INDEX('Inventaire M'!$A$2:$AW$9305,MATCH(B549,'Inventaire M'!$A:$A,0)-1,MATCH("quantite",'Inventaire M'!#REF!,0)))</f>
        <v/>
      </c>
      <c r="I549" s="156" t="str">
        <f>IF(C549="-","",IF(ISERROR(INDEX('Inventaire M-1'!$A$2:$AZ$9320,MATCH(B549,'Inventaire M-1'!$A:$A,0)-1,MATCH("quantite",'Inventaire M-1'!#REF!,0))),"Buy",INDEX('Inventaire M-1'!$A$2:$AZ$9320,MATCH(B549,'Inventaire M-1'!$A:$A,0)-1,MATCH("quantite",'Inventaire M-1'!#REF!,0))))</f>
        <v/>
      </c>
      <c r="J549" s="175"/>
      <c r="K549" s="155" t="str">
        <f>IF(B549="-","",INDEX('Inventaire M'!$A$2:$AW$9305,MATCH(B549,'Inventaire M'!$A:$A,0)-1,MATCH("poids",'Inventaire M'!#REF!,0)))</f>
        <v/>
      </c>
      <c r="L549" s="155" t="str">
        <f>IF(B549="-","",IF(ISERROR(INDEX('Inventaire M-1'!$A$2:$AZ$9320,MATCH(B549,'Inventaire M-1'!$A:$A,0)-1,MATCH("poids",'Inventaire M-1'!#REF!,0))),"Buy",INDEX('Inventaire M-1'!$A$2:$AZ$9320,MATCH(B549,'Inventaire M-1'!$A:$A,0)-1,MATCH("poids",'Inventaire M-1'!#REF!,0))))</f>
        <v/>
      </c>
      <c r="M549" s="175"/>
      <c r="N549" s="157" t="str">
        <f t="shared" si="61"/>
        <v>0</v>
      </c>
      <c r="O549" s="98" t="str">
        <f t="shared" si="60"/>
        <v/>
      </c>
      <c r="P549" s="80" t="str">
        <f t="shared" si="62"/>
        <v>-</v>
      </c>
      <c r="Q549" s="75">
        <v>5.25E-8</v>
      </c>
      <c r="R549" s="175" t="str">
        <f>IF(OR('Inventaire M-1'!D301="Dispo/Liquidité Investie",'Inventaire M-1'!D301="Option/Future",'Inventaire M-1'!D301="TCN",'Inventaire M-1'!D301=""),"-",'Inventaire M-1'!A301)</f>
        <v>-</v>
      </c>
      <c r="S549" s="175" t="str">
        <f>IF(OR('Inventaire M-1'!D301="Dispo/Liquidité Investie",'Inventaire M-1'!D301="Option/Future",'Inventaire M-1'!D301="TCN",'Inventaire M-1'!D301=""),"-",'Inventaire M-1'!B301)</f>
        <v>-</v>
      </c>
      <c r="T549" s="175"/>
      <c r="U549" s="175" t="str">
        <f>IF(R549="-","",INDEX('Inventaire M-1'!$A$2:$AG$9334,MATCH(R549,'Inventaire M-1'!$A:$A,0)-1,MATCH("Cours EUR",'Inventaire M-1'!#REF!,0)))</f>
        <v/>
      </c>
      <c r="V549" s="175" t="str">
        <f>IF(R549="-","",IF(ISERROR(INDEX('Inventaire M'!$A$2:$AD$9319,MATCH(R549,'Inventaire M'!$A:$A,0)-1,MATCH("Cours EUR",'Inventaire M'!#REF!,0))),"Sell",INDEX('Inventaire M'!$A$2:$AD$9319,MATCH(R549,'Inventaire M'!$A:$A,0)-1,MATCH("Cours EUR",'Inventaire M'!#REF!,0))))</f>
        <v/>
      </c>
      <c r="W549" s="175"/>
      <c r="X549" s="156" t="str">
        <f>IF(R549="-","",INDEX('Inventaire M-1'!$A$2:$AG$9334,MATCH(R549,'Inventaire M-1'!$A:$A,0)-1,MATCH("quantite",'Inventaire M-1'!#REF!,0)))</f>
        <v/>
      </c>
      <c r="Y549" s="156" t="str">
        <f>IF(S549="-","",IF(ISERROR(INDEX('Inventaire M'!$A$2:$AD$9319,MATCH(R549,'Inventaire M'!$A:$A,0)-1,MATCH("quantite",'Inventaire M'!#REF!,0))),"Sell",INDEX('Inventaire M'!$A$2:$AD$9319,MATCH(R549,'Inventaire M'!$A:$A,0)-1,MATCH("quantite",'Inventaire M'!#REF!,0))))</f>
        <v/>
      </c>
      <c r="Z549" s="175"/>
      <c r="AA549" s="155" t="str">
        <f>IF(R549="-","",INDEX('Inventaire M-1'!$A$2:$AG$9334,MATCH(R549,'Inventaire M-1'!$A:$A,0)-1,MATCH("poids",'Inventaire M-1'!#REF!,0)))</f>
        <v/>
      </c>
      <c r="AB549" s="155" t="str">
        <f>IF(R549="-","",IF(ISERROR(INDEX('Inventaire M'!$A$2:$AD$9319,MATCH(R549,'Inventaire M'!$A:$A,0)-1,MATCH("poids",'Inventaire M'!#REF!,0))),"Sell",INDEX('Inventaire M'!$A$2:$AD$9319,MATCH(R549,'Inventaire M'!$A:$A,0)-1,MATCH("poids",'Inventaire M'!#REF!,0))))</f>
        <v/>
      </c>
      <c r="AC549" s="175"/>
      <c r="AD549" s="157" t="str">
        <f t="shared" si="63"/>
        <v>0</v>
      </c>
      <c r="AE549" s="98" t="str">
        <f t="shared" si="64"/>
        <v/>
      </c>
      <c r="AF549" s="80" t="str">
        <f t="shared" si="65"/>
        <v>-</v>
      </c>
    </row>
    <row r="550" spans="2:32" outlineLevel="1">
      <c r="B550" s="175" t="str">
        <f>IF(OR('Inventaire M'!D323="Dispo/Liquidité Investie",'Inventaire M'!D323="Option/Future",'Inventaire M'!D323="TCN",'Inventaire M'!D323=""),"-",'Inventaire M'!A323)</f>
        <v>-</v>
      </c>
      <c r="C550" s="175" t="str">
        <f>IF(OR('Inventaire M'!D323="Dispo/Liquidité Investie",'Inventaire M'!D323="Option/Future",'Inventaire M'!D323="TCN",'Inventaire M'!D323=""),"-",'Inventaire M'!B323)</f>
        <v>-</v>
      </c>
      <c r="D550" s="175"/>
      <c r="E550" s="175" t="str">
        <f>IF(B550="-","",INDEX('Inventaire M'!$A$2:$AW$9305,MATCH(B550,'Inventaire M'!$A:$A,0)-1,MATCH("Cours EUR",'Inventaire M'!#REF!,0)))</f>
        <v/>
      </c>
      <c r="F550" s="175" t="str">
        <f>IF(B550="-","",IF(ISERROR(INDEX('Inventaire M-1'!$A$2:$AZ$9320,MATCH(B550,'Inventaire M-1'!$A:$A,0)-1,MATCH("Cours EUR",'Inventaire M-1'!#REF!,0))),"Buy",INDEX('Inventaire M-1'!$A$2:$AZ$9320,MATCH(B550,'Inventaire M-1'!$A:$A,0)-1,MATCH("Cours EUR",'Inventaire M-1'!#REF!,0))))</f>
        <v/>
      </c>
      <c r="G550" s="175"/>
      <c r="H550" s="156" t="str">
        <f>IF(B550="-","",INDEX('Inventaire M'!$A$2:$AW$9305,MATCH(B550,'Inventaire M'!$A:$A,0)-1,MATCH("quantite",'Inventaire M'!#REF!,0)))</f>
        <v/>
      </c>
      <c r="I550" s="156" t="str">
        <f>IF(C550="-","",IF(ISERROR(INDEX('Inventaire M-1'!$A$2:$AZ$9320,MATCH(B550,'Inventaire M-1'!$A:$A,0)-1,MATCH("quantite",'Inventaire M-1'!#REF!,0))),"Buy",INDEX('Inventaire M-1'!$A$2:$AZ$9320,MATCH(B550,'Inventaire M-1'!$A:$A,0)-1,MATCH("quantite",'Inventaire M-1'!#REF!,0))))</f>
        <v/>
      </c>
      <c r="J550" s="175"/>
      <c r="K550" s="155" t="str">
        <f>IF(B550="-","",INDEX('Inventaire M'!$A$2:$AW$9305,MATCH(B550,'Inventaire M'!$A:$A,0)-1,MATCH("poids",'Inventaire M'!#REF!,0)))</f>
        <v/>
      </c>
      <c r="L550" s="155" t="str">
        <f>IF(B550="-","",IF(ISERROR(INDEX('Inventaire M-1'!$A$2:$AZ$9320,MATCH(B550,'Inventaire M-1'!$A:$A,0)-1,MATCH("poids",'Inventaire M-1'!#REF!,0))),"Buy",INDEX('Inventaire M-1'!$A$2:$AZ$9320,MATCH(B550,'Inventaire M-1'!$A:$A,0)-1,MATCH("poids",'Inventaire M-1'!#REF!,0))))</f>
        <v/>
      </c>
      <c r="M550" s="175"/>
      <c r="N550" s="157" t="str">
        <f t="shared" si="61"/>
        <v>0</v>
      </c>
      <c r="O550" s="98" t="str">
        <f t="shared" si="60"/>
        <v/>
      </c>
      <c r="P550" s="80" t="str">
        <f t="shared" si="62"/>
        <v>-</v>
      </c>
      <c r="Q550" s="75">
        <v>5.2600000000000001E-8</v>
      </c>
      <c r="R550" s="175" t="str">
        <f>IF(OR('Inventaire M-1'!D302="Dispo/Liquidité Investie",'Inventaire M-1'!D302="Option/Future",'Inventaire M-1'!D302="TCN",'Inventaire M-1'!D302=""),"-",'Inventaire M-1'!A302)</f>
        <v>-</v>
      </c>
      <c r="S550" s="175" t="str">
        <f>IF(OR('Inventaire M-1'!D302="Dispo/Liquidité Investie",'Inventaire M-1'!D302="Option/Future",'Inventaire M-1'!D302="TCN",'Inventaire M-1'!D302=""),"-",'Inventaire M-1'!B302)</f>
        <v>-</v>
      </c>
      <c r="T550" s="175"/>
      <c r="U550" s="175" t="str">
        <f>IF(R550="-","",INDEX('Inventaire M-1'!$A$2:$AG$9334,MATCH(R550,'Inventaire M-1'!$A:$A,0)-1,MATCH("Cours EUR",'Inventaire M-1'!#REF!,0)))</f>
        <v/>
      </c>
      <c r="V550" s="175" t="str">
        <f>IF(R550="-","",IF(ISERROR(INDEX('Inventaire M'!$A$2:$AD$9319,MATCH(R550,'Inventaire M'!$A:$A,0)-1,MATCH("Cours EUR",'Inventaire M'!#REF!,0))),"Sell",INDEX('Inventaire M'!$A$2:$AD$9319,MATCH(R550,'Inventaire M'!$A:$A,0)-1,MATCH("Cours EUR",'Inventaire M'!#REF!,0))))</f>
        <v/>
      </c>
      <c r="W550" s="175"/>
      <c r="X550" s="156" t="str">
        <f>IF(R550="-","",INDEX('Inventaire M-1'!$A$2:$AG$9334,MATCH(R550,'Inventaire M-1'!$A:$A,0)-1,MATCH("quantite",'Inventaire M-1'!#REF!,0)))</f>
        <v/>
      </c>
      <c r="Y550" s="156" t="str">
        <f>IF(S550="-","",IF(ISERROR(INDEX('Inventaire M'!$A$2:$AD$9319,MATCH(R550,'Inventaire M'!$A:$A,0)-1,MATCH("quantite",'Inventaire M'!#REF!,0))),"Sell",INDEX('Inventaire M'!$A$2:$AD$9319,MATCH(R550,'Inventaire M'!$A:$A,0)-1,MATCH("quantite",'Inventaire M'!#REF!,0))))</f>
        <v/>
      </c>
      <c r="Z550" s="175"/>
      <c r="AA550" s="155" t="str">
        <f>IF(R550="-","",INDEX('Inventaire M-1'!$A$2:$AG$9334,MATCH(R550,'Inventaire M-1'!$A:$A,0)-1,MATCH("poids",'Inventaire M-1'!#REF!,0)))</f>
        <v/>
      </c>
      <c r="AB550" s="155" t="str">
        <f>IF(R550="-","",IF(ISERROR(INDEX('Inventaire M'!$A$2:$AD$9319,MATCH(R550,'Inventaire M'!$A:$A,0)-1,MATCH("poids",'Inventaire M'!#REF!,0))),"Sell",INDEX('Inventaire M'!$A$2:$AD$9319,MATCH(R550,'Inventaire M'!$A:$A,0)-1,MATCH("poids",'Inventaire M'!#REF!,0))))</f>
        <v/>
      </c>
      <c r="AC550" s="175"/>
      <c r="AD550" s="157" t="str">
        <f t="shared" si="63"/>
        <v>0</v>
      </c>
      <c r="AE550" s="98" t="str">
        <f t="shared" si="64"/>
        <v/>
      </c>
      <c r="AF550" s="80" t="str">
        <f t="shared" si="65"/>
        <v>-</v>
      </c>
    </row>
    <row r="551" spans="2:32" outlineLevel="1">
      <c r="B551" s="175" t="str">
        <f>IF(OR('Inventaire M'!D324="Dispo/Liquidité Investie",'Inventaire M'!D324="Option/Future",'Inventaire M'!D324="TCN",'Inventaire M'!D324=""),"-",'Inventaire M'!A324)</f>
        <v>-</v>
      </c>
      <c r="C551" s="175" t="str">
        <f>IF(OR('Inventaire M'!D324="Dispo/Liquidité Investie",'Inventaire M'!D324="Option/Future",'Inventaire M'!D324="TCN",'Inventaire M'!D324=""),"-",'Inventaire M'!B324)</f>
        <v>-</v>
      </c>
      <c r="D551" s="175"/>
      <c r="E551" s="175" t="str">
        <f>IF(B551="-","",INDEX('Inventaire M'!$A$2:$AW$9305,MATCH(B551,'Inventaire M'!$A:$A,0)-1,MATCH("Cours EUR",'Inventaire M'!#REF!,0)))</f>
        <v/>
      </c>
      <c r="F551" s="175" t="str">
        <f>IF(B551="-","",IF(ISERROR(INDEX('Inventaire M-1'!$A$2:$AZ$9320,MATCH(B551,'Inventaire M-1'!$A:$A,0)-1,MATCH("Cours EUR",'Inventaire M-1'!#REF!,0))),"Buy",INDEX('Inventaire M-1'!$A$2:$AZ$9320,MATCH(B551,'Inventaire M-1'!$A:$A,0)-1,MATCH("Cours EUR",'Inventaire M-1'!#REF!,0))))</f>
        <v/>
      </c>
      <c r="G551" s="175"/>
      <c r="H551" s="156" t="str">
        <f>IF(B551="-","",INDEX('Inventaire M'!$A$2:$AW$9305,MATCH(B551,'Inventaire M'!$A:$A,0)-1,MATCH("quantite",'Inventaire M'!#REF!,0)))</f>
        <v/>
      </c>
      <c r="I551" s="156" t="str">
        <f>IF(C551="-","",IF(ISERROR(INDEX('Inventaire M-1'!$A$2:$AZ$9320,MATCH(B551,'Inventaire M-1'!$A:$A,0)-1,MATCH("quantite",'Inventaire M-1'!#REF!,0))),"Buy",INDEX('Inventaire M-1'!$A$2:$AZ$9320,MATCH(B551,'Inventaire M-1'!$A:$A,0)-1,MATCH("quantite",'Inventaire M-1'!#REF!,0))))</f>
        <v/>
      </c>
      <c r="J551" s="175"/>
      <c r="K551" s="155" t="str">
        <f>IF(B551="-","",INDEX('Inventaire M'!$A$2:$AW$9305,MATCH(B551,'Inventaire M'!$A:$A,0)-1,MATCH("poids",'Inventaire M'!#REF!,0)))</f>
        <v/>
      </c>
      <c r="L551" s="155" t="str">
        <f>IF(B551="-","",IF(ISERROR(INDEX('Inventaire M-1'!$A$2:$AZ$9320,MATCH(B551,'Inventaire M-1'!$A:$A,0)-1,MATCH("poids",'Inventaire M-1'!#REF!,0))),"Buy",INDEX('Inventaire M-1'!$A$2:$AZ$9320,MATCH(B551,'Inventaire M-1'!$A:$A,0)-1,MATCH("poids",'Inventaire M-1'!#REF!,0))))</f>
        <v/>
      </c>
      <c r="M551" s="175"/>
      <c r="N551" s="157" t="str">
        <f t="shared" si="61"/>
        <v>0</v>
      </c>
      <c r="O551" s="98" t="str">
        <f t="shared" si="60"/>
        <v/>
      </c>
      <c r="P551" s="80" t="str">
        <f t="shared" si="62"/>
        <v>-</v>
      </c>
      <c r="Q551" s="75">
        <v>5.2700000000000002E-8</v>
      </c>
      <c r="R551" s="175" t="str">
        <f>IF(OR('Inventaire M-1'!D303="Dispo/Liquidité Investie",'Inventaire M-1'!D303="Option/Future",'Inventaire M-1'!D303="TCN",'Inventaire M-1'!D303=""),"-",'Inventaire M-1'!A303)</f>
        <v>-</v>
      </c>
      <c r="S551" s="175" t="str">
        <f>IF(OR('Inventaire M-1'!D303="Dispo/Liquidité Investie",'Inventaire M-1'!D303="Option/Future",'Inventaire M-1'!D303="TCN",'Inventaire M-1'!D303=""),"-",'Inventaire M-1'!B303)</f>
        <v>-</v>
      </c>
      <c r="T551" s="175"/>
      <c r="U551" s="175" t="str">
        <f>IF(R551="-","",INDEX('Inventaire M-1'!$A$2:$AG$9334,MATCH(R551,'Inventaire M-1'!$A:$A,0)-1,MATCH("Cours EUR",'Inventaire M-1'!#REF!,0)))</f>
        <v/>
      </c>
      <c r="V551" s="175" t="str">
        <f>IF(R551="-","",IF(ISERROR(INDEX('Inventaire M'!$A$2:$AD$9319,MATCH(R551,'Inventaire M'!$A:$A,0)-1,MATCH("Cours EUR",'Inventaire M'!#REF!,0))),"Sell",INDEX('Inventaire M'!$A$2:$AD$9319,MATCH(R551,'Inventaire M'!$A:$A,0)-1,MATCH("Cours EUR",'Inventaire M'!#REF!,0))))</f>
        <v/>
      </c>
      <c r="W551" s="175"/>
      <c r="X551" s="156" t="str">
        <f>IF(R551="-","",INDEX('Inventaire M-1'!$A$2:$AG$9334,MATCH(R551,'Inventaire M-1'!$A:$A,0)-1,MATCH("quantite",'Inventaire M-1'!#REF!,0)))</f>
        <v/>
      </c>
      <c r="Y551" s="156" t="str">
        <f>IF(S551="-","",IF(ISERROR(INDEX('Inventaire M'!$A$2:$AD$9319,MATCH(R551,'Inventaire M'!$A:$A,0)-1,MATCH("quantite",'Inventaire M'!#REF!,0))),"Sell",INDEX('Inventaire M'!$A$2:$AD$9319,MATCH(R551,'Inventaire M'!$A:$A,0)-1,MATCH("quantite",'Inventaire M'!#REF!,0))))</f>
        <v/>
      </c>
      <c r="Z551" s="175"/>
      <c r="AA551" s="155" t="str">
        <f>IF(R551="-","",INDEX('Inventaire M-1'!$A$2:$AG$9334,MATCH(R551,'Inventaire M-1'!$A:$A,0)-1,MATCH("poids",'Inventaire M-1'!#REF!,0)))</f>
        <v/>
      </c>
      <c r="AB551" s="155" t="str">
        <f>IF(R551="-","",IF(ISERROR(INDEX('Inventaire M'!$A$2:$AD$9319,MATCH(R551,'Inventaire M'!$A:$A,0)-1,MATCH("poids",'Inventaire M'!#REF!,0))),"Sell",INDEX('Inventaire M'!$A$2:$AD$9319,MATCH(R551,'Inventaire M'!$A:$A,0)-1,MATCH("poids",'Inventaire M'!#REF!,0))))</f>
        <v/>
      </c>
      <c r="AC551" s="175"/>
      <c r="AD551" s="157" t="str">
        <f t="shared" si="63"/>
        <v>0</v>
      </c>
      <c r="AE551" s="98" t="str">
        <f t="shared" si="64"/>
        <v/>
      </c>
      <c r="AF551" s="80" t="str">
        <f t="shared" si="65"/>
        <v>-</v>
      </c>
    </row>
    <row r="552" spans="2:32" outlineLevel="1">
      <c r="B552" s="175" t="str">
        <f>IF(OR('Inventaire M'!D325="Dispo/Liquidité Investie",'Inventaire M'!D325="Option/Future",'Inventaire M'!D325="TCN",'Inventaire M'!D325=""),"-",'Inventaire M'!A325)</f>
        <v>-</v>
      </c>
      <c r="C552" s="175" t="str">
        <f>IF(OR('Inventaire M'!D325="Dispo/Liquidité Investie",'Inventaire M'!D325="Option/Future",'Inventaire M'!D325="TCN",'Inventaire M'!D325=""),"-",'Inventaire M'!B325)</f>
        <v>-</v>
      </c>
      <c r="D552" s="175"/>
      <c r="E552" s="175" t="str">
        <f>IF(B552="-","",INDEX('Inventaire M'!$A$2:$AW$9305,MATCH(B552,'Inventaire M'!$A:$A,0)-1,MATCH("Cours EUR",'Inventaire M'!#REF!,0)))</f>
        <v/>
      </c>
      <c r="F552" s="175" t="str">
        <f>IF(B552="-","",IF(ISERROR(INDEX('Inventaire M-1'!$A$2:$AZ$9320,MATCH(B552,'Inventaire M-1'!$A:$A,0)-1,MATCH("Cours EUR",'Inventaire M-1'!#REF!,0))),"Buy",INDEX('Inventaire M-1'!$A$2:$AZ$9320,MATCH(B552,'Inventaire M-1'!$A:$A,0)-1,MATCH("Cours EUR",'Inventaire M-1'!#REF!,0))))</f>
        <v/>
      </c>
      <c r="G552" s="175"/>
      <c r="H552" s="156" t="str">
        <f>IF(B552="-","",INDEX('Inventaire M'!$A$2:$AW$9305,MATCH(B552,'Inventaire M'!$A:$A,0)-1,MATCH("quantite",'Inventaire M'!#REF!,0)))</f>
        <v/>
      </c>
      <c r="I552" s="156" t="str">
        <f>IF(C552="-","",IF(ISERROR(INDEX('Inventaire M-1'!$A$2:$AZ$9320,MATCH(B552,'Inventaire M-1'!$A:$A,0)-1,MATCH("quantite",'Inventaire M-1'!#REF!,0))),"Buy",INDEX('Inventaire M-1'!$A$2:$AZ$9320,MATCH(B552,'Inventaire M-1'!$A:$A,0)-1,MATCH("quantite",'Inventaire M-1'!#REF!,0))))</f>
        <v/>
      </c>
      <c r="J552" s="175"/>
      <c r="K552" s="155" t="str">
        <f>IF(B552="-","",INDEX('Inventaire M'!$A$2:$AW$9305,MATCH(B552,'Inventaire M'!$A:$A,0)-1,MATCH("poids",'Inventaire M'!#REF!,0)))</f>
        <v/>
      </c>
      <c r="L552" s="155" t="str">
        <f>IF(B552="-","",IF(ISERROR(INDEX('Inventaire M-1'!$A$2:$AZ$9320,MATCH(B552,'Inventaire M-1'!$A:$A,0)-1,MATCH("poids",'Inventaire M-1'!#REF!,0))),"Buy",INDEX('Inventaire M-1'!$A$2:$AZ$9320,MATCH(B552,'Inventaire M-1'!$A:$A,0)-1,MATCH("poids",'Inventaire M-1'!#REF!,0))))</f>
        <v/>
      </c>
      <c r="M552" s="175"/>
      <c r="N552" s="157" t="str">
        <f t="shared" si="61"/>
        <v>0</v>
      </c>
      <c r="O552" s="98" t="str">
        <f t="shared" si="60"/>
        <v/>
      </c>
      <c r="P552" s="80" t="str">
        <f t="shared" si="62"/>
        <v>-</v>
      </c>
      <c r="Q552" s="75">
        <v>5.2800000000000003E-8</v>
      </c>
      <c r="R552" s="175" t="str">
        <f>IF(OR('Inventaire M-1'!D304="Dispo/Liquidité Investie",'Inventaire M-1'!D304="Option/Future",'Inventaire M-1'!D304="TCN",'Inventaire M-1'!D304=""),"-",'Inventaire M-1'!A304)</f>
        <v>-</v>
      </c>
      <c r="S552" s="175" t="str">
        <f>IF(OR('Inventaire M-1'!D304="Dispo/Liquidité Investie",'Inventaire M-1'!D304="Option/Future",'Inventaire M-1'!D304="TCN",'Inventaire M-1'!D304=""),"-",'Inventaire M-1'!B304)</f>
        <v>-</v>
      </c>
      <c r="T552" s="175"/>
      <c r="U552" s="175" t="str">
        <f>IF(R552="-","",INDEX('Inventaire M-1'!$A$2:$AG$9334,MATCH(R552,'Inventaire M-1'!$A:$A,0)-1,MATCH("Cours EUR",'Inventaire M-1'!#REF!,0)))</f>
        <v/>
      </c>
      <c r="V552" s="175" t="str">
        <f>IF(R552="-","",IF(ISERROR(INDEX('Inventaire M'!$A$2:$AD$9319,MATCH(R552,'Inventaire M'!$A:$A,0)-1,MATCH("Cours EUR",'Inventaire M'!#REF!,0))),"Sell",INDEX('Inventaire M'!$A$2:$AD$9319,MATCH(R552,'Inventaire M'!$A:$A,0)-1,MATCH("Cours EUR",'Inventaire M'!#REF!,0))))</f>
        <v/>
      </c>
      <c r="W552" s="175"/>
      <c r="X552" s="156" t="str">
        <f>IF(R552="-","",INDEX('Inventaire M-1'!$A$2:$AG$9334,MATCH(R552,'Inventaire M-1'!$A:$A,0)-1,MATCH("quantite",'Inventaire M-1'!#REF!,0)))</f>
        <v/>
      </c>
      <c r="Y552" s="156" t="str">
        <f>IF(S552="-","",IF(ISERROR(INDEX('Inventaire M'!$A$2:$AD$9319,MATCH(R552,'Inventaire M'!$A:$A,0)-1,MATCH("quantite",'Inventaire M'!#REF!,0))),"Sell",INDEX('Inventaire M'!$A$2:$AD$9319,MATCH(R552,'Inventaire M'!$A:$A,0)-1,MATCH("quantite",'Inventaire M'!#REF!,0))))</f>
        <v/>
      </c>
      <c r="Z552" s="175"/>
      <c r="AA552" s="155" t="str">
        <f>IF(R552="-","",INDEX('Inventaire M-1'!$A$2:$AG$9334,MATCH(R552,'Inventaire M-1'!$A:$A,0)-1,MATCH("poids",'Inventaire M-1'!#REF!,0)))</f>
        <v/>
      </c>
      <c r="AB552" s="155" t="str">
        <f>IF(R552="-","",IF(ISERROR(INDEX('Inventaire M'!$A$2:$AD$9319,MATCH(R552,'Inventaire M'!$A:$A,0)-1,MATCH("poids",'Inventaire M'!#REF!,0))),"Sell",INDEX('Inventaire M'!$A$2:$AD$9319,MATCH(R552,'Inventaire M'!$A:$A,0)-1,MATCH("poids",'Inventaire M'!#REF!,0))))</f>
        <v/>
      </c>
      <c r="AC552" s="175"/>
      <c r="AD552" s="157" t="str">
        <f t="shared" si="63"/>
        <v>0</v>
      </c>
      <c r="AE552" s="98" t="str">
        <f t="shared" si="64"/>
        <v/>
      </c>
      <c r="AF552" s="80" t="str">
        <f t="shared" si="65"/>
        <v>-</v>
      </c>
    </row>
    <row r="553" spans="2:32" outlineLevel="1">
      <c r="B553" s="175" t="str">
        <f>IF(OR('Inventaire M'!D326="Dispo/Liquidité Investie",'Inventaire M'!D326="Option/Future",'Inventaire M'!D326="TCN",'Inventaire M'!D326=""),"-",'Inventaire M'!A326)</f>
        <v>-</v>
      </c>
      <c r="C553" s="175" t="str">
        <f>IF(OR('Inventaire M'!D326="Dispo/Liquidité Investie",'Inventaire M'!D326="Option/Future",'Inventaire M'!D326="TCN",'Inventaire M'!D326=""),"-",'Inventaire M'!B326)</f>
        <v>-</v>
      </c>
      <c r="D553" s="175"/>
      <c r="E553" s="175" t="str">
        <f>IF(B553="-","",INDEX('Inventaire M'!$A$2:$AW$9305,MATCH(B553,'Inventaire M'!$A:$A,0)-1,MATCH("Cours EUR",'Inventaire M'!#REF!,0)))</f>
        <v/>
      </c>
      <c r="F553" s="175" t="str">
        <f>IF(B553="-","",IF(ISERROR(INDEX('Inventaire M-1'!$A$2:$AZ$9320,MATCH(B553,'Inventaire M-1'!$A:$A,0)-1,MATCH("Cours EUR",'Inventaire M-1'!#REF!,0))),"Buy",INDEX('Inventaire M-1'!$A$2:$AZ$9320,MATCH(B553,'Inventaire M-1'!$A:$A,0)-1,MATCH("Cours EUR",'Inventaire M-1'!#REF!,0))))</f>
        <v/>
      </c>
      <c r="G553" s="175"/>
      <c r="H553" s="156" t="str">
        <f>IF(B553="-","",INDEX('Inventaire M'!$A$2:$AW$9305,MATCH(B553,'Inventaire M'!$A:$A,0)-1,MATCH("quantite",'Inventaire M'!#REF!,0)))</f>
        <v/>
      </c>
      <c r="I553" s="156" t="str">
        <f>IF(C553="-","",IF(ISERROR(INDEX('Inventaire M-1'!$A$2:$AZ$9320,MATCH(B553,'Inventaire M-1'!$A:$A,0)-1,MATCH("quantite",'Inventaire M-1'!#REF!,0))),"Buy",INDEX('Inventaire M-1'!$A$2:$AZ$9320,MATCH(B553,'Inventaire M-1'!$A:$A,0)-1,MATCH("quantite",'Inventaire M-1'!#REF!,0))))</f>
        <v/>
      </c>
      <c r="J553" s="175"/>
      <c r="K553" s="155" t="str">
        <f>IF(B553="-","",INDEX('Inventaire M'!$A$2:$AW$9305,MATCH(B553,'Inventaire M'!$A:$A,0)-1,MATCH("poids",'Inventaire M'!#REF!,0)))</f>
        <v/>
      </c>
      <c r="L553" s="155" t="str">
        <f>IF(B553="-","",IF(ISERROR(INDEX('Inventaire M-1'!$A$2:$AZ$9320,MATCH(B553,'Inventaire M-1'!$A:$A,0)-1,MATCH("poids",'Inventaire M-1'!#REF!,0))),"Buy",INDEX('Inventaire M-1'!$A$2:$AZ$9320,MATCH(B553,'Inventaire M-1'!$A:$A,0)-1,MATCH("poids",'Inventaire M-1'!#REF!,0))))</f>
        <v/>
      </c>
      <c r="M553" s="175"/>
      <c r="N553" s="157" t="str">
        <f t="shared" si="61"/>
        <v>0</v>
      </c>
      <c r="O553" s="98" t="str">
        <f t="shared" si="60"/>
        <v/>
      </c>
      <c r="P553" s="80" t="str">
        <f t="shared" si="62"/>
        <v>-</v>
      </c>
      <c r="Q553" s="75">
        <v>5.2899999999999997E-8</v>
      </c>
      <c r="R553" s="175" t="str">
        <f>IF(OR('Inventaire M-1'!D305="Dispo/Liquidité Investie",'Inventaire M-1'!D305="Option/Future",'Inventaire M-1'!D305="TCN",'Inventaire M-1'!D305=""),"-",'Inventaire M-1'!A305)</f>
        <v>-</v>
      </c>
      <c r="S553" s="175" t="str">
        <f>IF(OR('Inventaire M-1'!D305="Dispo/Liquidité Investie",'Inventaire M-1'!D305="Option/Future",'Inventaire M-1'!D305="TCN",'Inventaire M-1'!D305=""),"-",'Inventaire M-1'!B305)</f>
        <v>-</v>
      </c>
      <c r="T553" s="175"/>
      <c r="U553" s="175" t="str">
        <f>IF(R553="-","",INDEX('Inventaire M-1'!$A$2:$AG$9334,MATCH(R553,'Inventaire M-1'!$A:$A,0)-1,MATCH("Cours EUR",'Inventaire M-1'!#REF!,0)))</f>
        <v/>
      </c>
      <c r="V553" s="175" t="str">
        <f>IF(R553="-","",IF(ISERROR(INDEX('Inventaire M'!$A$2:$AD$9319,MATCH(R553,'Inventaire M'!$A:$A,0)-1,MATCH("Cours EUR",'Inventaire M'!#REF!,0))),"Sell",INDEX('Inventaire M'!$A$2:$AD$9319,MATCH(R553,'Inventaire M'!$A:$A,0)-1,MATCH("Cours EUR",'Inventaire M'!#REF!,0))))</f>
        <v/>
      </c>
      <c r="W553" s="175"/>
      <c r="X553" s="156" t="str">
        <f>IF(R553="-","",INDEX('Inventaire M-1'!$A$2:$AG$9334,MATCH(R553,'Inventaire M-1'!$A:$A,0)-1,MATCH("quantite",'Inventaire M-1'!#REF!,0)))</f>
        <v/>
      </c>
      <c r="Y553" s="156" t="str">
        <f>IF(S553="-","",IF(ISERROR(INDEX('Inventaire M'!$A$2:$AD$9319,MATCH(R553,'Inventaire M'!$A:$A,0)-1,MATCH("quantite",'Inventaire M'!#REF!,0))),"Sell",INDEX('Inventaire M'!$A$2:$AD$9319,MATCH(R553,'Inventaire M'!$A:$A,0)-1,MATCH("quantite",'Inventaire M'!#REF!,0))))</f>
        <v/>
      </c>
      <c r="Z553" s="175"/>
      <c r="AA553" s="155" t="str">
        <f>IF(R553="-","",INDEX('Inventaire M-1'!$A$2:$AG$9334,MATCH(R553,'Inventaire M-1'!$A:$A,0)-1,MATCH("poids",'Inventaire M-1'!#REF!,0)))</f>
        <v/>
      </c>
      <c r="AB553" s="155" t="str">
        <f>IF(R553="-","",IF(ISERROR(INDEX('Inventaire M'!$A$2:$AD$9319,MATCH(R553,'Inventaire M'!$A:$A,0)-1,MATCH("poids",'Inventaire M'!#REF!,0))),"Sell",INDEX('Inventaire M'!$A$2:$AD$9319,MATCH(R553,'Inventaire M'!$A:$A,0)-1,MATCH("poids",'Inventaire M'!#REF!,0))))</f>
        <v/>
      </c>
      <c r="AC553" s="175"/>
      <c r="AD553" s="157" t="str">
        <f t="shared" si="63"/>
        <v>0</v>
      </c>
      <c r="AE553" s="98" t="str">
        <f t="shared" si="64"/>
        <v/>
      </c>
      <c r="AF553" s="80" t="str">
        <f t="shared" si="65"/>
        <v>-</v>
      </c>
    </row>
    <row r="554" spans="2:32" outlineLevel="1">
      <c r="B554" s="175" t="str">
        <f>IF(OR('Inventaire M'!D327="Dispo/Liquidité Investie",'Inventaire M'!D327="Option/Future",'Inventaire M'!D327="TCN",'Inventaire M'!D327=""),"-",'Inventaire M'!A327)</f>
        <v>-</v>
      </c>
      <c r="C554" s="175" t="str">
        <f>IF(OR('Inventaire M'!D327="Dispo/Liquidité Investie",'Inventaire M'!D327="Option/Future",'Inventaire M'!D327="TCN",'Inventaire M'!D327=""),"-",'Inventaire M'!B327)</f>
        <v>-</v>
      </c>
      <c r="D554" s="175"/>
      <c r="E554" s="175" t="str">
        <f>IF(B554="-","",INDEX('Inventaire M'!$A$2:$AW$9305,MATCH(B554,'Inventaire M'!$A:$A,0)-1,MATCH("Cours EUR",'Inventaire M'!#REF!,0)))</f>
        <v/>
      </c>
      <c r="F554" s="175" t="str">
        <f>IF(B554="-","",IF(ISERROR(INDEX('Inventaire M-1'!$A$2:$AZ$9320,MATCH(B554,'Inventaire M-1'!$A:$A,0)-1,MATCH("Cours EUR",'Inventaire M-1'!#REF!,0))),"Buy",INDEX('Inventaire M-1'!$A$2:$AZ$9320,MATCH(B554,'Inventaire M-1'!$A:$A,0)-1,MATCH("Cours EUR",'Inventaire M-1'!#REF!,0))))</f>
        <v/>
      </c>
      <c r="G554" s="175"/>
      <c r="H554" s="156" t="str">
        <f>IF(B554="-","",INDEX('Inventaire M'!$A$2:$AW$9305,MATCH(B554,'Inventaire M'!$A:$A,0)-1,MATCH("quantite",'Inventaire M'!#REF!,0)))</f>
        <v/>
      </c>
      <c r="I554" s="156" t="str">
        <f>IF(C554="-","",IF(ISERROR(INDEX('Inventaire M-1'!$A$2:$AZ$9320,MATCH(B554,'Inventaire M-1'!$A:$A,0)-1,MATCH("quantite",'Inventaire M-1'!#REF!,0))),"Buy",INDEX('Inventaire M-1'!$A$2:$AZ$9320,MATCH(B554,'Inventaire M-1'!$A:$A,0)-1,MATCH("quantite",'Inventaire M-1'!#REF!,0))))</f>
        <v/>
      </c>
      <c r="J554" s="175"/>
      <c r="K554" s="155" t="str">
        <f>IF(B554="-","",INDEX('Inventaire M'!$A$2:$AW$9305,MATCH(B554,'Inventaire M'!$A:$A,0)-1,MATCH("poids",'Inventaire M'!#REF!,0)))</f>
        <v/>
      </c>
      <c r="L554" s="155" t="str">
        <f>IF(B554="-","",IF(ISERROR(INDEX('Inventaire M-1'!$A$2:$AZ$9320,MATCH(B554,'Inventaire M-1'!$A:$A,0)-1,MATCH("poids",'Inventaire M-1'!#REF!,0))),"Buy",INDEX('Inventaire M-1'!$A$2:$AZ$9320,MATCH(B554,'Inventaire M-1'!$A:$A,0)-1,MATCH("poids",'Inventaire M-1'!#REF!,0))))</f>
        <v/>
      </c>
      <c r="M554" s="175"/>
      <c r="N554" s="157" t="str">
        <f t="shared" si="61"/>
        <v>0</v>
      </c>
      <c r="O554" s="98" t="str">
        <f t="shared" si="60"/>
        <v/>
      </c>
      <c r="P554" s="80" t="str">
        <f t="shared" si="62"/>
        <v>-</v>
      </c>
      <c r="Q554" s="75">
        <v>5.2999999999999998E-8</v>
      </c>
      <c r="R554" s="175" t="str">
        <f>IF(OR('Inventaire M-1'!D306="Dispo/Liquidité Investie",'Inventaire M-1'!D306="Option/Future",'Inventaire M-1'!D306="TCN",'Inventaire M-1'!D306=""),"-",'Inventaire M-1'!A306)</f>
        <v>-</v>
      </c>
      <c r="S554" s="175" t="str">
        <f>IF(OR('Inventaire M-1'!D306="Dispo/Liquidité Investie",'Inventaire M-1'!D306="Option/Future",'Inventaire M-1'!D306="TCN",'Inventaire M-1'!D306=""),"-",'Inventaire M-1'!B306)</f>
        <v>-</v>
      </c>
      <c r="T554" s="175"/>
      <c r="U554" s="175" t="str">
        <f>IF(R554="-","",INDEX('Inventaire M-1'!$A$2:$AG$9334,MATCH(R554,'Inventaire M-1'!$A:$A,0)-1,MATCH("Cours EUR",'Inventaire M-1'!#REF!,0)))</f>
        <v/>
      </c>
      <c r="V554" s="175" t="str">
        <f>IF(R554="-","",IF(ISERROR(INDEX('Inventaire M'!$A$2:$AD$9319,MATCH(R554,'Inventaire M'!$A:$A,0)-1,MATCH("Cours EUR",'Inventaire M'!#REF!,0))),"Sell",INDEX('Inventaire M'!$A$2:$AD$9319,MATCH(R554,'Inventaire M'!$A:$A,0)-1,MATCH("Cours EUR",'Inventaire M'!#REF!,0))))</f>
        <v/>
      </c>
      <c r="W554" s="175"/>
      <c r="X554" s="156" t="str">
        <f>IF(R554="-","",INDEX('Inventaire M-1'!$A$2:$AG$9334,MATCH(R554,'Inventaire M-1'!$A:$A,0)-1,MATCH("quantite",'Inventaire M-1'!#REF!,0)))</f>
        <v/>
      </c>
      <c r="Y554" s="156" t="str">
        <f>IF(S554="-","",IF(ISERROR(INDEX('Inventaire M'!$A$2:$AD$9319,MATCH(R554,'Inventaire M'!$A:$A,0)-1,MATCH("quantite",'Inventaire M'!#REF!,0))),"Sell",INDEX('Inventaire M'!$A$2:$AD$9319,MATCH(R554,'Inventaire M'!$A:$A,0)-1,MATCH("quantite",'Inventaire M'!#REF!,0))))</f>
        <v/>
      </c>
      <c r="Z554" s="175"/>
      <c r="AA554" s="155" t="str">
        <f>IF(R554="-","",INDEX('Inventaire M-1'!$A$2:$AG$9334,MATCH(R554,'Inventaire M-1'!$A:$A,0)-1,MATCH("poids",'Inventaire M-1'!#REF!,0)))</f>
        <v/>
      </c>
      <c r="AB554" s="155" t="str">
        <f>IF(R554="-","",IF(ISERROR(INDEX('Inventaire M'!$A$2:$AD$9319,MATCH(R554,'Inventaire M'!$A:$A,0)-1,MATCH("poids",'Inventaire M'!#REF!,0))),"Sell",INDEX('Inventaire M'!$A$2:$AD$9319,MATCH(R554,'Inventaire M'!$A:$A,0)-1,MATCH("poids",'Inventaire M'!#REF!,0))))</f>
        <v/>
      </c>
      <c r="AC554" s="175"/>
      <c r="AD554" s="157" t="str">
        <f t="shared" si="63"/>
        <v>0</v>
      </c>
      <c r="AE554" s="98" t="str">
        <f t="shared" si="64"/>
        <v/>
      </c>
      <c r="AF554" s="80" t="str">
        <f t="shared" si="65"/>
        <v>-</v>
      </c>
    </row>
    <row r="555" spans="2:32" outlineLevel="1">
      <c r="B555" s="175" t="str">
        <f>IF(OR('Inventaire M'!D328="Dispo/Liquidité Investie",'Inventaire M'!D328="Option/Future",'Inventaire M'!D328="TCN",'Inventaire M'!D328=""),"-",'Inventaire M'!A328)</f>
        <v>-</v>
      </c>
      <c r="C555" s="175" t="str">
        <f>IF(OR('Inventaire M'!D328="Dispo/Liquidité Investie",'Inventaire M'!D328="Option/Future",'Inventaire M'!D328="TCN",'Inventaire M'!D328=""),"-",'Inventaire M'!B328)</f>
        <v>-</v>
      </c>
      <c r="D555" s="175"/>
      <c r="E555" s="175" t="str">
        <f>IF(B555="-","",INDEX('Inventaire M'!$A$2:$AW$9305,MATCH(B555,'Inventaire M'!$A:$A,0)-1,MATCH("Cours EUR",'Inventaire M'!#REF!,0)))</f>
        <v/>
      </c>
      <c r="F555" s="175" t="str">
        <f>IF(B555="-","",IF(ISERROR(INDEX('Inventaire M-1'!$A$2:$AZ$9320,MATCH(B555,'Inventaire M-1'!$A:$A,0)-1,MATCH("Cours EUR",'Inventaire M-1'!#REF!,0))),"Buy",INDEX('Inventaire M-1'!$A$2:$AZ$9320,MATCH(B555,'Inventaire M-1'!$A:$A,0)-1,MATCH("Cours EUR",'Inventaire M-1'!#REF!,0))))</f>
        <v/>
      </c>
      <c r="G555" s="175"/>
      <c r="H555" s="156" t="str">
        <f>IF(B555="-","",INDEX('Inventaire M'!$A$2:$AW$9305,MATCH(B555,'Inventaire M'!$A:$A,0)-1,MATCH("quantite",'Inventaire M'!#REF!,0)))</f>
        <v/>
      </c>
      <c r="I555" s="156" t="str">
        <f>IF(C555="-","",IF(ISERROR(INDEX('Inventaire M-1'!$A$2:$AZ$9320,MATCH(B555,'Inventaire M-1'!$A:$A,0)-1,MATCH("quantite",'Inventaire M-1'!#REF!,0))),"Buy",INDEX('Inventaire M-1'!$A$2:$AZ$9320,MATCH(B555,'Inventaire M-1'!$A:$A,0)-1,MATCH("quantite",'Inventaire M-1'!#REF!,0))))</f>
        <v/>
      </c>
      <c r="J555" s="175"/>
      <c r="K555" s="155" t="str">
        <f>IF(B555="-","",INDEX('Inventaire M'!$A$2:$AW$9305,MATCH(B555,'Inventaire M'!$A:$A,0)-1,MATCH("poids",'Inventaire M'!#REF!,0)))</f>
        <v/>
      </c>
      <c r="L555" s="155" t="str">
        <f>IF(B555="-","",IF(ISERROR(INDEX('Inventaire M-1'!$A$2:$AZ$9320,MATCH(B555,'Inventaire M-1'!$A:$A,0)-1,MATCH("poids",'Inventaire M-1'!#REF!,0))),"Buy",INDEX('Inventaire M-1'!$A$2:$AZ$9320,MATCH(B555,'Inventaire M-1'!$A:$A,0)-1,MATCH("poids",'Inventaire M-1'!#REF!,0))))</f>
        <v/>
      </c>
      <c r="M555" s="175"/>
      <c r="N555" s="157" t="str">
        <f t="shared" si="61"/>
        <v>0</v>
      </c>
      <c r="O555" s="98" t="str">
        <f t="shared" si="60"/>
        <v/>
      </c>
      <c r="P555" s="80" t="str">
        <f t="shared" si="62"/>
        <v>-</v>
      </c>
      <c r="Q555" s="75">
        <v>5.3099999999999999E-8</v>
      </c>
      <c r="R555" s="175" t="str">
        <f>IF(OR('Inventaire M-1'!D307="Dispo/Liquidité Investie",'Inventaire M-1'!D307="Option/Future",'Inventaire M-1'!D307="TCN",'Inventaire M-1'!D307=""),"-",'Inventaire M-1'!A307)</f>
        <v>-</v>
      </c>
      <c r="S555" s="175" t="str">
        <f>IF(OR('Inventaire M-1'!D307="Dispo/Liquidité Investie",'Inventaire M-1'!D307="Option/Future",'Inventaire M-1'!D307="TCN",'Inventaire M-1'!D307=""),"-",'Inventaire M-1'!B307)</f>
        <v>-</v>
      </c>
      <c r="T555" s="175"/>
      <c r="U555" s="175" t="str">
        <f>IF(R555="-","",INDEX('Inventaire M-1'!$A$2:$AG$9334,MATCH(R555,'Inventaire M-1'!$A:$A,0)-1,MATCH("Cours EUR",'Inventaire M-1'!#REF!,0)))</f>
        <v/>
      </c>
      <c r="V555" s="175" t="str">
        <f>IF(R555="-","",IF(ISERROR(INDEX('Inventaire M'!$A$2:$AD$9319,MATCH(R555,'Inventaire M'!$A:$A,0)-1,MATCH("Cours EUR",'Inventaire M'!#REF!,0))),"Sell",INDEX('Inventaire M'!$A$2:$AD$9319,MATCH(R555,'Inventaire M'!$A:$A,0)-1,MATCH("Cours EUR",'Inventaire M'!#REF!,0))))</f>
        <v/>
      </c>
      <c r="W555" s="175"/>
      <c r="X555" s="156" t="str">
        <f>IF(R555="-","",INDEX('Inventaire M-1'!$A$2:$AG$9334,MATCH(R555,'Inventaire M-1'!$A:$A,0)-1,MATCH("quantite",'Inventaire M-1'!#REF!,0)))</f>
        <v/>
      </c>
      <c r="Y555" s="156" t="str">
        <f>IF(S555="-","",IF(ISERROR(INDEX('Inventaire M'!$A$2:$AD$9319,MATCH(R555,'Inventaire M'!$A:$A,0)-1,MATCH("quantite",'Inventaire M'!#REF!,0))),"Sell",INDEX('Inventaire M'!$A$2:$AD$9319,MATCH(R555,'Inventaire M'!$A:$A,0)-1,MATCH("quantite",'Inventaire M'!#REF!,0))))</f>
        <v/>
      </c>
      <c r="Z555" s="175"/>
      <c r="AA555" s="155" t="str">
        <f>IF(R555="-","",INDEX('Inventaire M-1'!$A$2:$AG$9334,MATCH(R555,'Inventaire M-1'!$A:$A,0)-1,MATCH("poids",'Inventaire M-1'!#REF!,0)))</f>
        <v/>
      </c>
      <c r="AB555" s="155" t="str">
        <f>IF(R555="-","",IF(ISERROR(INDEX('Inventaire M'!$A$2:$AD$9319,MATCH(R555,'Inventaire M'!$A:$A,0)-1,MATCH("poids",'Inventaire M'!#REF!,0))),"Sell",INDEX('Inventaire M'!$A$2:$AD$9319,MATCH(R555,'Inventaire M'!$A:$A,0)-1,MATCH("poids",'Inventaire M'!#REF!,0))))</f>
        <v/>
      </c>
      <c r="AC555" s="175"/>
      <c r="AD555" s="157" t="str">
        <f t="shared" si="63"/>
        <v>0</v>
      </c>
      <c r="AE555" s="98" t="str">
        <f t="shared" si="64"/>
        <v/>
      </c>
      <c r="AF555" s="80" t="str">
        <f t="shared" si="65"/>
        <v>-</v>
      </c>
    </row>
    <row r="556" spans="2:32" outlineLevel="1">
      <c r="B556" s="175" t="str">
        <f>IF(OR('Inventaire M'!D329="Dispo/Liquidité Investie",'Inventaire M'!D329="Option/Future",'Inventaire M'!D329="TCN",'Inventaire M'!D329=""),"-",'Inventaire M'!A329)</f>
        <v>-</v>
      </c>
      <c r="C556" s="175" t="str">
        <f>IF(OR('Inventaire M'!D329="Dispo/Liquidité Investie",'Inventaire M'!D329="Option/Future",'Inventaire M'!D329="TCN",'Inventaire M'!D329=""),"-",'Inventaire M'!B329)</f>
        <v>-</v>
      </c>
      <c r="D556" s="175"/>
      <c r="E556" s="175" t="str">
        <f>IF(B556="-","",INDEX('Inventaire M'!$A$2:$AW$9305,MATCH(B556,'Inventaire M'!$A:$A,0)-1,MATCH("Cours EUR",'Inventaire M'!#REF!,0)))</f>
        <v/>
      </c>
      <c r="F556" s="175" t="str">
        <f>IF(B556="-","",IF(ISERROR(INDEX('Inventaire M-1'!$A$2:$AZ$9320,MATCH(B556,'Inventaire M-1'!$A:$A,0)-1,MATCH("Cours EUR",'Inventaire M-1'!#REF!,0))),"Buy",INDEX('Inventaire M-1'!$A$2:$AZ$9320,MATCH(B556,'Inventaire M-1'!$A:$A,0)-1,MATCH("Cours EUR",'Inventaire M-1'!#REF!,0))))</f>
        <v/>
      </c>
      <c r="G556" s="175"/>
      <c r="H556" s="156" t="str">
        <f>IF(B556="-","",INDEX('Inventaire M'!$A$2:$AW$9305,MATCH(B556,'Inventaire M'!$A:$A,0)-1,MATCH("quantite",'Inventaire M'!#REF!,0)))</f>
        <v/>
      </c>
      <c r="I556" s="156" t="str">
        <f>IF(C556="-","",IF(ISERROR(INDEX('Inventaire M-1'!$A$2:$AZ$9320,MATCH(B556,'Inventaire M-1'!$A:$A,0)-1,MATCH("quantite",'Inventaire M-1'!#REF!,0))),"Buy",INDEX('Inventaire M-1'!$A$2:$AZ$9320,MATCH(B556,'Inventaire M-1'!$A:$A,0)-1,MATCH("quantite",'Inventaire M-1'!#REF!,0))))</f>
        <v/>
      </c>
      <c r="J556" s="175"/>
      <c r="K556" s="155" t="str">
        <f>IF(B556="-","",INDEX('Inventaire M'!$A$2:$AW$9305,MATCH(B556,'Inventaire M'!$A:$A,0)-1,MATCH("poids",'Inventaire M'!#REF!,0)))</f>
        <v/>
      </c>
      <c r="L556" s="155" t="str">
        <f>IF(B556="-","",IF(ISERROR(INDEX('Inventaire M-1'!$A$2:$AZ$9320,MATCH(B556,'Inventaire M-1'!$A:$A,0)-1,MATCH("poids",'Inventaire M-1'!#REF!,0))),"Buy",INDEX('Inventaire M-1'!$A$2:$AZ$9320,MATCH(B556,'Inventaire M-1'!$A:$A,0)-1,MATCH("poids",'Inventaire M-1'!#REF!,0))))</f>
        <v/>
      </c>
      <c r="M556" s="175"/>
      <c r="N556" s="157" t="str">
        <f t="shared" si="61"/>
        <v>0</v>
      </c>
      <c r="O556" s="98" t="str">
        <f t="shared" si="60"/>
        <v/>
      </c>
      <c r="P556" s="80" t="str">
        <f t="shared" si="62"/>
        <v>-</v>
      </c>
      <c r="Q556" s="75">
        <v>5.32E-8</v>
      </c>
      <c r="R556" s="175" t="str">
        <f>IF(OR('Inventaire M-1'!D308="Dispo/Liquidité Investie",'Inventaire M-1'!D308="Option/Future",'Inventaire M-1'!D308="TCN",'Inventaire M-1'!D308=""),"-",'Inventaire M-1'!A308)</f>
        <v>-</v>
      </c>
      <c r="S556" s="175" t="str">
        <f>IF(OR('Inventaire M-1'!D308="Dispo/Liquidité Investie",'Inventaire M-1'!D308="Option/Future",'Inventaire M-1'!D308="TCN",'Inventaire M-1'!D308=""),"-",'Inventaire M-1'!B308)</f>
        <v>-</v>
      </c>
      <c r="T556" s="175"/>
      <c r="U556" s="175" t="str">
        <f>IF(R556="-","",INDEX('Inventaire M-1'!$A$2:$AG$9334,MATCH(R556,'Inventaire M-1'!$A:$A,0)-1,MATCH("Cours EUR",'Inventaire M-1'!#REF!,0)))</f>
        <v/>
      </c>
      <c r="V556" s="175" t="str">
        <f>IF(R556="-","",IF(ISERROR(INDEX('Inventaire M'!$A$2:$AD$9319,MATCH(R556,'Inventaire M'!$A:$A,0)-1,MATCH("Cours EUR",'Inventaire M'!#REF!,0))),"Sell",INDEX('Inventaire M'!$A$2:$AD$9319,MATCH(R556,'Inventaire M'!$A:$A,0)-1,MATCH("Cours EUR",'Inventaire M'!#REF!,0))))</f>
        <v/>
      </c>
      <c r="W556" s="175"/>
      <c r="X556" s="156" t="str">
        <f>IF(R556="-","",INDEX('Inventaire M-1'!$A$2:$AG$9334,MATCH(R556,'Inventaire M-1'!$A:$A,0)-1,MATCH("quantite",'Inventaire M-1'!#REF!,0)))</f>
        <v/>
      </c>
      <c r="Y556" s="156" t="str">
        <f>IF(S556="-","",IF(ISERROR(INDEX('Inventaire M'!$A$2:$AD$9319,MATCH(R556,'Inventaire M'!$A:$A,0)-1,MATCH("quantite",'Inventaire M'!#REF!,0))),"Sell",INDEX('Inventaire M'!$A$2:$AD$9319,MATCH(R556,'Inventaire M'!$A:$A,0)-1,MATCH("quantite",'Inventaire M'!#REF!,0))))</f>
        <v/>
      </c>
      <c r="Z556" s="175"/>
      <c r="AA556" s="155" t="str">
        <f>IF(R556="-","",INDEX('Inventaire M-1'!$A$2:$AG$9334,MATCH(R556,'Inventaire M-1'!$A:$A,0)-1,MATCH("poids",'Inventaire M-1'!#REF!,0)))</f>
        <v/>
      </c>
      <c r="AB556" s="155" t="str">
        <f>IF(R556="-","",IF(ISERROR(INDEX('Inventaire M'!$A$2:$AD$9319,MATCH(R556,'Inventaire M'!$A:$A,0)-1,MATCH("poids",'Inventaire M'!#REF!,0))),"Sell",INDEX('Inventaire M'!$A$2:$AD$9319,MATCH(R556,'Inventaire M'!$A:$A,0)-1,MATCH("poids",'Inventaire M'!#REF!,0))))</f>
        <v/>
      </c>
      <c r="AC556" s="175"/>
      <c r="AD556" s="157" t="str">
        <f t="shared" si="63"/>
        <v>0</v>
      </c>
      <c r="AE556" s="98" t="str">
        <f t="shared" si="64"/>
        <v/>
      </c>
      <c r="AF556" s="80" t="str">
        <f t="shared" si="65"/>
        <v>-</v>
      </c>
    </row>
    <row r="557" spans="2:32" outlineLevel="1">
      <c r="B557" s="175" t="str">
        <f>IF(OR('Inventaire M'!D330="Dispo/Liquidité Investie",'Inventaire M'!D330="Option/Future",'Inventaire M'!D330="TCN",'Inventaire M'!D330=""),"-",'Inventaire M'!A330)</f>
        <v>-</v>
      </c>
      <c r="C557" s="175" t="str">
        <f>IF(OR('Inventaire M'!D330="Dispo/Liquidité Investie",'Inventaire M'!D330="Option/Future",'Inventaire M'!D330="TCN",'Inventaire M'!D330=""),"-",'Inventaire M'!B330)</f>
        <v>-</v>
      </c>
      <c r="D557" s="175"/>
      <c r="E557" s="175" t="str">
        <f>IF(B557="-","",INDEX('Inventaire M'!$A$2:$AW$9305,MATCH(B557,'Inventaire M'!$A:$A,0)-1,MATCH("Cours EUR",'Inventaire M'!#REF!,0)))</f>
        <v/>
      </c>
      <c r="F557" s="175" t="str">
        <f>IF(B557="-","",IF(ISERROR(INDEX('Inventaire M-1'!$A$2:$AZ$9320,MATCH(B557,'Inventaire M-1'!$A:$A,0)-1,MATCH("Cours EUR",'Inventaire M-1'!#REF!,0))),"Buy",INDEX('Inventaire M-1'!$A$2:$AZ$9320,MATCH(B557,'Inventaire M-1'!$A:$A,0)-1,MATCH("Cours EUR",'Inventaire M-1'!#REF!,0))))</f>
        <v/>
      </c>
      <c r="G557" s="175"/>
      <c r="H557" s="156" t="str">
        <f>IF(B557="-","",INDEX('Inventaire M'!$A$2:$AW$9305,MATCH(B557,'Inventaire M'!$A:$A,0)-1,MATCH("quantite",'Inventaire M'!#REF!,0)))</f>
        <v/>
      </c>
      <c r="I557" s="156" t="str">
        <f>IF(C557="-","",IF(ISERROR(INDEX('Inventaire M-1'!$A$2:$AZ$9320,MATCH(B557,'Inventaire M-1'!$A:$A,0)-1,MATCH("quantite",'Inventaire M-1'!#REF!,0))),"Buy",INDEX('Inventaire M-1'!$A$2:$AZ$9320,MATCH(B557,'Inventaire M-1'!$A:$A,0)-1,MATCH("quantite",'Inventaire M-1'!#REF!,0))))</f>
        <v/>
      </c>
      <c r="J557" s="175"/>
      <c r="K557" s="155" t="str">
        <f>IF(B557="-","",INDEX('Inventaire M'!$A$2:$AW$9305,MATCH(B557,'Inventaire M'!$A:$A,0)-1,MATCH("poids",'Inventaire M'!#REF!,0)))</f>
        <v/>
      </c>
      <c r="L557" s="155" t="str">
        <f>IF(B557="-","",IF(ISERROR(INDEX('Inventaire M-1'!$A$2:$AZ$9320,MATCH(B557,'Inventaire M-1'!$A:$A,0)-1,MATCH("poids",'Inventaire M-1'!#REF!,0))),"Buy",INDEX('Inventaire M-1'!$A$2:$AZ$9320,MATCH(B557,'Inventaire M-1'!$A:$A,0)-1,MATCH("poids",'Inventaire M-1'!#REF!,0))))</f>
        <v/>
      </c>
      <c r="M557" s="175"/>
      <c r="N557" s="157" t="str">
        <f t="shared" si="61"/>
        <v>0</v>
      </c>
      <c r="O557" s="98" t="str">
        <f t="shared" si="60"/>
        <v/>
      </c>
      <c r="P557" s="80" t="str">
        <f t="shared" si="62"/>
        <v>-</v>
      </c>
      <c r="Q557" s="75">
        <v>5.3300000000000001E-8</v>
      </c>
      <c r="R557" s="175" t="str">
        <f>IF(OR('Inventaire M-1'!D309="Dispo/Liquidité Investie",'Inventaire M-1'!D309="Option/Future",'Inventaire M-1'!D309="TCN",'Inventaire M-1'!D309=""),"-",'Inventaire M-1'!A309)</f>
        <v>-</v>
      </c>
      <c r="S557" s="175" t="str">
        <f>IF(OR('Inventaire M-1'!D309="Dispo/Liquidité Investie",'Inventaire M-1'!D309="Option/Future",'Inventaire M-1'!D309="TCN",'Inventaire M-1'!D309=""),"-",'Inventaire M-1'!B309)</f>
        <v>-</v>
      </c>
      <c r="T557" s="175"/>
      <c r="U557" s="175" t="str">
        <f>IF(R557="-","",INDEX('Inventaire M-1'!$A$2:$AG$9334,MATCH(R557,'Inventaire M-1'!$A:$A,0)-1,MATCH("Cours EUR",'Inventaire M-1'!#REF!,0)))</f>
        <v/>
      </c>
      <c r="V557" s="175" t="str">
        <f>IF(R557="-","",IF(ISERROR(INDEX('Inventaire M'!$A$2:$AD$9319,MATCH(R557,'Inventaire M'!$A:$A,0)-1,MATCH("Cours EUR",'Inventaire M'!#REF!,0))),"Sell",INDEX('Inventaire M'!$A$2:$AD$9319,MATCH(R557,'Inventaire M'!$A:$A,0)-1,MATCH("Cours EUR",'Inventaire M'!#REF!,0))))</f>
        <v/>
      </c>
      <c r="W557" s="175"/>
      <c r="X557" s="156" t="str">
        <f>IF(R557="-","",INDEX('Inventaire M-1'!$A$2:$AG$9334,MATCH(R557,'Inventaire M-1'!$A:$A,0)-1,MATCH("quantite",'Inventaire M-1'!#REF!,0)))</f>
        <v/>
      </c>
      <c r="Y557" s="156" t="str">
        <f>IF(S557="-","",IF(ISERROR(INDEX('Inventaire M'!$A$2:$AD$9319,MATCH(R557,'Inventaire M'!$A:$A,0)-1,MATCH("quantite",'Inventaire M'!#REF!,0))),"Sell",INDEX('Inventaire M'!$A$2:$AD$9319,MATCH(R557,'Inventaire M'!$A:$A,0)-1,MATCH("quantite",'Inventaire M'!#REF!,0))))</f>
        <v/>
      </c>
      <c r="Z557" s="175"/>
      <c r="AA557" s="155" t="str">
        <f>IF(R557="-","",INDEX('Inventaire M-1'!$A$2:$AG$9334,MATCH(R557,'Inventaire M-1'!$A:$A,0)-1,MATCH("poids",'Inventaire M-1'!#REF!,0)))</f>
        <v/>
      </c>
      <c r="AB557" s="155" t="str">
        <f>IF(R557="-","",IF(ISERROR(INDEX('Inventaire M'!$A$2:$AD$9319,MATCH(R557,'Inventaire M'!$A:$A,0)-1,MATCH("poids",'Inventaire M'!#REF!,0))),"Sell",INDEX('Inventaire M'!$A$2:$AD$9319,MATCH(R557,'Inventaire M'!$A:$A,0)-1,MATCH("poids",'Inventaire M'!#REF!,0))))</f>
        <v/>
      </c>
      <c r="AC557" s="175"/>
      <c r="AD557" s="157" t="str">
        <f t="shared" si="63"/>
        <v>0</v>
      </c>
      <c r="AE557" s="98" t="str">
        <f t="shared" si="64"/>
        <v/>
      </c>
      <c r="AF557" s="80" t="str">
        <f t="shared" si="65"/>
        <v>-</v>
      </c>
    </row>
    <row r="558" spans="2:32" outlineLevel="1">
      <c r="B558" s="175" t="str">
        <f>IF(OR('Inventaire M'!D331="Dispo/Liquidité Investie",'Inventaire M'!D331="Option/Future",'Inventaire M'!D331="TCN",'Inventaire M'!D331=""),"-",'Inventaire M'!A331)</f>
        <v>-</v>
      </c>
      <c r="C558" s="175" t="str">
        <f>IF(OR('Inventaire M'!D331="Dispo/Liquidité Investie",'Inventaire M'!D331="Option/Future",'Inventaire M'!D331="TCN",'Inventaire M'!D331=""),"-",'Inventaire M'!B331)</f>
        <v>-</v>
      </c>
      <c r="D558" s="175"/>
      <c r="E558" s="175" t="str">
        <f>IF(B558="-","",INDEX('Inventaire M'!$A$2:$AW$9305,MATCH(B558,'Inventaire M'!$A:$A,0)-1,MATCH("Cours EUR",'Inventaire M'!#REF!,0)))</f>
        <v/>
      </c>
      <c r="F558" s="175" t="str">
        <f>IF(B558="-","",IF(ISERROR(INDEX('Inventaire M-1'!$A$2:$AZ$9320,MATCH(B558,'Inventaire M-1'!$A:$A,0)-1,MATCH("Cours EUR",'Inventaire M-1'!#REF!,0))),"Buy",INDEX('Inventaire M-1'!$A$2:$AZ$9320,MATCH(B558,'Inventaire M-1'!$A:$A,0)-1,MATCH("Cours EUR",'Inventaire M-1'!#REF!,0))))</f>
        <v/>
      </c>
      <c r="G558" s="175"/>
      <c r="H558" s="156" t="str">
        <f>IF(B558="-","",INDEX('Inventaire M'!$A$2:$AW$9305,MATCH(B558,'Inventaire M'!$A:$A,0)-1,MATCH("quantite",'Inventaire M'!#REF!,0)))</f>
        <v/>
      </c>
      <c r="I558" s="156" t="str">
        <f>IF(C558="-","",IF(ISERROR(INDEX('Inventaire M-1'!$A$2:$AZ$9320,MATCH(B558,'Inventaire M-1'!$A:$A,0)-1,MATCH("quantite",'Inventaire M-1'!#REF!,0))),"Buy",INDEX('Inventaire M-1'!$A$2:$AZ$9320,MATCH(B558,'Inventaire M-1'!$A:$A,0)-1,MATCH("quantite",'Inventaire M-1'!#REF!,0))))</f>
        <v/>
      </c>
      <c r="J558" s="175"/>
      <c r="K558" s="155" t="str">
        <f>IF(B558="-","",INDEX('Inventaire M'!$A$2:$AW$9305,MATCH(B558,'Inventaire M'!$A:$A,0)-1,MATCH("poids",'Inventaire M'!#REF!,0)))</f>
        <v/>
      </c>
      <c r="L558" s="155" t="str">
        <f>IF(B558="-","",IF(ISERROR(INDEX('Inventaire M-1'!$A$2:$AZ$9320,MATCH(B558,'Inventaire M-1'!$A:$A,0)-1,MATCH("poids",'Inventaire M-1'!#REF!,0))),"Buy",INDEX('Inventaire M-1'!$A$2:$AZ$9320,MATCH(B558,'Inventaire M-1'!$A:$A,0)-1,MATCH("poids",'Inventaire M-1'!#REF!,0))))</f>
        <v/>
      </c>
      <c r="M558" s="175"/>
      <c r="N558" s="157" t="str">
        <f t="shared" si="61"/>
        <v>0</v>
      </c>
      <c r="O558" s="98" t="str">
        <f t="shared" si="60"/>
        <v/>
      </c>
      <c r="P558" s="80" t="str">
        <f t="shared" si="62"/>
        <v>-</v>
      </c>
      <c r="Q558" s="75">
        <v>5.3400000000000002E-8</v>
      </c>
      <c r="R558" s="175" t="str">
        <f>IF(OR('Inventaire M-1'!D310="Dispo/Liquidité Investie",'Inventaire M-1'!D310="Option/Future",'Inventaire M-1'!D310="TCN",'Inventaire M-1'!D310=""),"-",'Inventaire M-1'!A310)</f>
        <v>-</v>
      </c>
      <c r="S558" s="175" t="str">
        <f>IF(OR('Inventaire M-1'!D310="Dispo/Liquidité Investie",'Inventaire M-1'!D310="Option/Future",'Inventaire M-1'!D310="TCN",'Inventaire M-1'!D310=""),"-",'Inventaire M-1'!B310)</f>
        <v>-</v>
      </c>
      <c r="T558" s="175"/>
      <c r="U558" s="175" t="str">
        <f>IF(R558="-","",INDEX('Inventaire M-1'!$A$2:$AG$9334,MATCH(R558,'Inventaire M-1'!$A:$A,0)-1,MATCH("Cours EUR",'Inventaire M-1'!#REF!,0)))</f>
        <v/>
      </c>
      <c r="V558" s="175" t="str">
        <f>IF(R558="-","",IF(ISERROR(INDEX('Inventaire M'!$A$2:$AD$9319,MATCH(R558,'Inventaire M'!$A:$A,0)-1,MATCH("Cours EUR",'Inventaire M'!#REF!,0))),"Sell",INDEX('Inventaire M'!$A$2:$AD$9319,MATCH(R558,'Inventaire M'!$A:$A,0)-1,MATCH("Cours EUR",'Inventaire M'!#REF!,0))))</f>
        <v/>
      </c>
      <c r="W558" s="175"/>
      <c r="X558" s="156" t="str">
        <f>IF(R558="-","",INDEX('Inventaire M-1'!$A$2:$AG$9334,MATCH(R558,'Inventaire M-1'!$A:$A,0)-1,MATCH("quantite",'Inventaire M-1'!#REF!,0)))</f>
        <v/>
      </c>
      <c r="Y558" s="156" t="str">
        <f>IF(S558="-","",IF(ISERROR(INDEX('Inventaire M'!$A$2:$AD$9319,MATCH(R558,'Inventaire M'!$A:$A,0)-1,MATCH("quantite",'Inventaire M'!#REF!,0))),"Sell",INDEX('Inventaire M'!$A$2:$AD$9319,MATCH(R558,'Inventaire M'!$A:$A,0)-1,MATCH("quantite",'Inventaire M'!#REF!,0))))</f>
        <v/>
      </c>
      <c r="Z558" s="175"/>
      <c r="AA558" s="155" t="str">
        <f>IF(R558="-","",INDEX('Inventaire M-1'!$A$2:$AG$9334,MATCH(R558,'Inventaire M-1'!$A:$A,0)-1,MATCH("poids",'Inventaire M-1'!#REF!,0)))</f>
        <v/>
      </c>
      <c r="AB558" s="155" t="str">
        <f>IF(R558="-","",IF(ISERROR(INDEX('Inventaire M'!$A$2:$AD$9319,MATCH(R558,'Inventaire M'!$A:$A,0)-1,MATCH("poids",'Inventaire M'!#REF!,0))),"Sell",INDEX('Inventaire M'!$A$2:$AD$9319,MATCH(R558,'Inventaire M'!$A:$A,0)-1,MATCH("poids",'Inventaire M'!#REF!,0))))</f>
        <v/>
      </c>
      <c r="AC558" s="175"/>
      <c r="AD558" s="157" t="str">
        <f t="shared" si="63"/>
        <v>0</v>
      </c>
      <c r="AE558" s="98" t="str">
        <f t="shared" si="64"/>
        <v/>
      </c>
      <c r="AF558" s="80" t="str">
        <f t="shared" si="65"/>
        <v>-</v>
      </c>
    </row>
    <row r="559" spans="2:32" outlineLevel="1">
      <c r="B559" s="175" t="str">
        <f>IF(OR('Inventaire M'!D332="Dispo/Liquidité Investie",'Inventaire M'!D332="Option/Future",'Inventaire M'!D332="TCN",'Inventaire M'!D332=""),"-",'Inventaire M'!A332)</f>
        <v>-</v>
      </c>
      <c r="C559" s="175" t="str">
        <f>IF(OR('Inventaire M'!D332="Dispo/Liquidité Investie",'Inventaire M'!D332="Option/Future",'Inventaire M'!D332="TCN",'Inventaire M'!D332=""),"-",'Inventaire M'!B332)</f>
        <v>-</v>
      </c>
      <c r="D559" s="175"/>
      <c r="E559" s="175" t="str">
        <f>IF(B559="-","",INDEX('Inventaire M'!$A$2:$AW$9305,MATCH(B559,'Inventaire M'!$A:$A,0)-1,MATCH("Cours EUR",'Inventaire M'!#REF!,0)))</f>
        <v/>
      </c>
      <c r="F559" s="175" t="str">
        <f>IF(B559="-","",IF(ISERROR(INDEX('Inventaire M-1'!$A$2:$AZ$9320,MATCH(B559,'Inventaire M-1'!$A:$A,0)-1,MATCH("Cours EUR",'Inventaire M-1'!#REF!,0))),"Buy",INDEX('Inventaire M-1'!$A$2:$AZ$9320,MATCH(B559,'Inventaire M-1'!$A:$A,0)-1,MATCH("Cours EUR",'Inventaire M-1'!#REF!,0))))</f>
        <v/>
      </c>
      <c r="G559" s="175"/>
      <c r="H559" s="156" t="str">
        <f>IF(B559="-","",INDEX('Inventaire M'!$A$2:$AW$9305,MATCH(B559,'Inventaire M'!$A:$A,0)-1,MATCH("quantite",'Inventaire M'!#REF!,0)))</f>
        <v/>
      </c>
      <c r="I559" s="156" t="str">
        <f>IF(C559="-","",IF(ISERROR(INDEX('Inventaire M-1'!$A$2:$AZ$9320,MATCH(B559,'Inventaire M-1'!$A:$A,0)-1,MATCH("quantite",'Inventaire M-1'!#REF!,0))),"Buy",INDEX('Inventaire M-1'!$A$2:$AZ$9320,MATCH(B559,'Inventaire M-1'!$A:$A,0)-1,MATCH("quantite",'Inventaire M-1'!#REF!,0))))</f>
        <v/>
      </c>
      <c r="J559" s="175"/>
      <c r="K559" s="155" t="str">
        <f>IF(B559="-","",INDEX('Inventaire M'!$A$2:$AW$9305,MATCH(B559,'Inventaire M'!$A:$A,0)-1,MATCH("poids",'Inventaire M'!#REF!,0)))</f>
        <v/>
      </c>
      <c r="L559" s="155" t="str">
        <f>IF(B559="-","",IF(ISERROR(INDEX('Inventaire M-1'!$A$2:$AZ$9320,MATCH(B559,'Inventaire M-1'!$A:$A,0)-1,MATCH("poids",'Inventaire M-1'!#REF!,0))),"Buy",INDEX('Inventaire M-1'!$A$2:$AZ$9320,MATCH(B559,'Inventaire M-1'!$A:$A,0)-1,MATCH("poids",'Inventaire M-1'!#REF!,0))))</f>
        <v/>
      </c>
      <c r="M559" s="175"/>
      <c r="N559" s="157" t="str">
        <f t="shared" si="61"/>
        <v>0</v>
      </c>
      <c r="O559" s="98" t="str">
        <f t="shared" si="60"/>
        <v/>
      </c>
      <c r="P559" s="80" t="str">
        <f t="shared" si="62"/>
        <v>-</v>
      </c>
      <c r="Q559" s="75">
        <v>5.3500000000000003E-8</v>
      </c>
      <c r="R559" s="175" t="str">
        <f>IF(OR('Inventaire M-1'!D311="Dispo/Liquidité Investie",'Inventaire M-1'!D311="Option/Future",'Inventaire M-1'!D311="TCN",'Inventaire M-1'!D311=""),"-",'Inventaire M-1'!A311)</f>
        <v>-</v>
      </c>
      <c r="S559" s="175" t="str">
        <f>IF(OR('Inventaire M-1'!D311="Dispo/Liquidité Investie",'Inventaire M-1'!D311="Option/Future",'Inventaire M-1'!D311="TCN",'Inventaire M-1'!D311=""),"-",'Inventaire M-1'!B311)</f>
        <v>-</v>
      </c>
      <c r="T559" s="175"/>
      <c r="U559" s="175" t="str">
        <f>IF(R559="-","",INDEX('Inventaire M-1'!$A$2:$AG$9334,MATCH(R559,'Inventaire M-1'!$A:$A,0)-1,MATCH("Cours EUR",'Inventaire M-1'!#REF!,0)))</f>
        <v/>
      </c>
      <c r="V559" s="175" t="str">
        <f>IF(R559="-","",IF(ISERROR(INDEX('Inventaire M'!$A$2:$AD$9319,MATCH(R559,'Inventaire M'!$A:$A,0)-1,MATCH("Cours EUR",'Inventaire M'!#REF!,0))),"Sell",INDEX('Inventaire M'!$A$2:$AD$9319,MATCH(R559,'Inventaire M'!$A:$A,0)-1,MATCH("Cours EUR",'Inventaire M'!#REF!,0))))</f>
        <v/>
      </c>
      <c r="W559" s="175"/>
      <c r="X559" s="156" t="str">
        <f>IF(R559="-","",INDEX('Inventaire M-1'!$A$2:$AG$9334,MATCH(R559,'Inventaire M-1'!$A:$A,0)-1,MATCH("quantite",'Inventaire M-1'!#REF!,0)))</f>
        <v/>
      </c>
      <c r="Y559" s="156" t="str">
        <f>IF(S559="-","",IF(ISERROR(INDEX('Inventaire M'!$A$2:$AD$9319,MATCH(R559,'Inventaire M'!$A:$A,0)-1,MATCH("quantite",'Inventaire M'!#REF!,0))),"Sell",INDEX('Inventaire M'!$A$2:$AD$9319,MATCH(R559,'Inventaire M'!$A:$A,0)-1,MATCH("quantite",'Inventaire M'!#REF!,0))))</f>
        <v/>
      </c>
      <c r="Z559" s="175"/>
      <c r="AA559" s="155" t="str">
        <f>IF(R559="-","",INDEX('Inventaire M-1'!$A$2:$AG$9334,MATCH(R559,'Inventaire M-1'!$A:$A,0)-1,MATCH("poids",'Inventaire M-1'!#REF!,0)))</f>
        <v/>
      </c>
      <c r="AB559" s="155" t="str">
        <f>IF(R559="-","",IF(ISERROR(INDEX('Inventaire M'!$A$2:$AD$9319,MATCH(R559,'Inventaire M'!$A:$A,0)-1,MATCH("poids",'Inventaire M'!#REF!,0))),"Sell",INDEX('Inventaire M'!$A$2:$AD$9319,MATCH(R559,'Inventaire M'!$A:$A,0)-1,MATCH("poids",'Inventaire M'!#REF!,0))))</f>
        <v/>
      </c>
      <c r="AC559" s="175"/>
      <c r="AD559" s="157" t="str">
        <f t="shared" si="63"/>
        <v>0</v>
      </c>
      <c r="AE559" s="98" t="str">
        <f t="shared" si="64"/>
        <v/>
      </c>
      <c r="AF559" s="80" t="str">
        <f t="shared" si="65"/>
        <v>-</v>
      </c>
    </row>
    <row r="560" spans="2:32" outlineLevel="1">
      <c r="B560" s="175" t="str">
        <f>IF(OR('Inventaire M'!D333="Dispo/Liquidité Investie",'Inventaire M'!D333="Option/Future",'Inventaire M'!D333="TCN",'Inventaire M'!D333=""),"-",'Inventaire M'!A333)</f>
        <v>-</v>
      </c>
      <c r="C560" s="175" t="str">
        <f>IF(OR('Inventaire M'!D333="Dispo/Liquidité Investie",'Inventaire M'!D333="Option/Future",'Inventaire M'!D333="TCN",'Inventaire M'!D333=""),"-",'Inventaire M'!B333)</f>
        <v>-</v>
      </c>
      <c r="D560" s="175"/>
      <c r="E560" s="175" t="str">
        <f>IF(B560="-","",INDEX('Inventaire M'!$A$2:$AW$9305,MATCH(B560,'Inventaire M'!$A:$A,0)-1,MATCH("Cours EUR",'Inventaire M'!#REF!,0)))</f>
        <v/>
      </c>
      <c r="F560" s="175" t="str">
        <f>IF(B560="-","",IF(ISERROR(INDEX('Inventaire M-1'!$A$2:$AZ$9320,MATCH(B560,'Inventaire M-1'!$A:$A,0)-1,MATCH("Cours EUR",'Inventaire M-1'!#REF!,0))),"Buy",INDEX('Inventaire M-1'!$A$2:$AZ$9320,MATCH(B560,'Inventaire M-1'!$A:$A,0)-1,MATCH("Cours EUR",'Inventaire M-1'!#REF!,0))))</f>
        <v/>
      </c>
      <c r="G560" s="175"/>
      <c r="H560" s="156" t="str">
        <f>IF(B560="-","",INDEX('Inventaire M'!$A$2:$AW$9305,MATCH(B560,'Inventaire M'!$A:$A,0)-1,MATCH("quantite",'Inventaire M'!#REF!,0)))</f>
        <v/>
      </c>
      <c r="I560" s="156" t="str">
        <f>IF(C560="-","",IF(ISERROR(INDEX('Inventaire M-1'!$A$2:$AZ$9320,MATCH(B560,'Inventaire M-1'!$A:$A,0)-1,MATCH("quantite",'Inventaire M-1'!#REF!,0))),"Buy",INDEX('Inventaire M-1'!$A$2:$AZ$9320,MATCH(B560,'Inventaire M-1'!$A:$A,0)-1,MATCH("quantite",'Inventaire M-1'!#REF!,0))))</f>
        <v/>
      </c>
      <c r="J560" s="175"/>
      <c r="K560" s="155" t="str">
        <f>IF(B560="-","",INDEX('Inventaire M'!$A$2:$AW$9305,MATCH(B560,'Inventaire M'!$A:$A,0)-1,MATCH("poids",'Inventaire M'!#REF!,0)))</f>
        <v/>
      </c>
      <c r="L560" s="155" t="str">
        <f>IF(B560="-","",IF(ISERROR(INDEX('Inventaire M-1'!$A$2:$AZ$9320,MATCH(B560,'Inventaire M-1'!$A:$A,0)-1,MATCH("poids",'Inventaire M-1'!#REF!,0))),"Buy",INDEX('Inventaire M-1'!$A$2:$AZ$9320,MATCH(B560,'Inventaire M-1'!$A:$A,0)-1,MATCH("poids",'Inventaire M-1'!#REF!,0))))</f>
        <v/>
      </c>
      <c r="M560" s="175"/>
      <c r="N560" s="157" t="str">
        <f t="shared" si="61"/>
        <v>0</v>
      </c>
      <c r="O560" s="98" t="str">
        <f t="shared" si="60"/>
        <v/>
      </c>
      <c r="P560" s="80" t="str">
        <f t="shared" si="62"/>
        <v>-</v>
      </c>
      <c r="Q560" s="75">
        <v>5.3599999999999997E-8</v>
      </c>
      <c r="R560" s="175" t="str">
        <f>IF(OR('Inventaire M-1'!D312="Dispo/Liquidité Investie",'Inventaire M-1'!D312="Option/Future",'Inventaire M-1'!D312="TCN",'Inventaire M-1'!D312=""),"-",'Inventaire M-1'!A312)</f>
        <v>-</v>
      </c>
      <c r="S560" s="175" t="str">
        <f>IF(OR('Inventaire M-1'!D312="Dispo/Liquidité Investie",'Inventaire M-1'!D312="Option/Future",'Inventaire M-1'!D312="TCN",'Inventaire M-1'!D312=""),"-",'Inventaire M-1'!B312)</f>
        <v>-</v>
      </c>
      <c r="T560" s="175"/>
      <c r="U560" s="175" t="str">
        <f>IF(R560="-","",INDEX('Inventaire M-1'!$A$2:$AG$9334,MATCH(R560,'Inventaire M-1'!$A:$A,0)-1,MATCH("Cours EUR",'Inventaire M-1'!#REF!,0)))</f>
        <v/>
      </c>
      <c r="V560" s="175" t="str">
        <f>IF(R560="-","",IF(ISERROR(INDEX('Inventaire M'!$A$2:$AD$9319,MATCH(R560,'Inventaire M'!$A:$A,0)-1,MATCH("Cours EUR",'Inventaire M'!#REF!,0))),"Sell",INDEX('Inventaire M'!$A$2:$AD$9319,MATCH(R560,'Inventaire M'!$A:$A,0)-1,MATCH("Cours EUR",'Inventaire M'!#REF!,0))))</f>
        <v/>
      </c>
      <c r="W560" s="175"/>
      <c r="X560" s="156" t="str">
        <f>IF(R560="-","",INDEX('Inventaire M-1'!$A$2:$AG$9334,MATCH(R560,'Inventaire M-1'!$A:$A,0)-1,MATCH("quantite",'Inventaire M-1'!#REF!,0)))</f>
        <v/>
      </c>
      <c r="Y560" s="156" t="str">
        <f>IF(S560="-","",IF(ISERROR(INDEX('Inventaire M'!$A$2:$AD$9319,MATCH(R560,'Inventaire M'!$A:$A,0)-1,MATCH("quantite",'Inventaire M'!#REF!,0))),"Sell",INDEX('Inventaire M'!$A$2:$AD$9319,MATCH(R560,'Inventaire M'!$A:$A,0)-1,MATCH("quantite",'Inventaire M'!#REF!,0))))</f>
        <v/>
      </c>
      <c r="Z560" s="175"/>
      <c r="AA560" s="155" t="str">
        <f>IF(R560="-","",INDEX('Inventaire M-1'!$A$2:$AG$9334,MATCH(R560,'Inventaire M-1'!$A:$A,0)-1,MATCH("poids",'Inventaire M-1'!#REF!,0)))</f>
        <v/>
      </c>
      <c r="AB560" s="155" t="str">
        <f>IF(R560="-","",IF(ISERROR(INDEX('Inventaire M'!$A$2:$AD$9319,MATCH(R560,'Inventaire M'!$A:$A,0)-1,MATCH("poids",'Inventaire M'!#REF!,0))),"Sell",INDEX('Inventaire M'!$A$2:$AD$9319,MATCH(R560,'Inventaire M'!$A:$A,0)-1,MATCH("poids",'Inventaire M'!#REF!,0))))</f>
        <v/>
      </c>
      <c r="AC560" s="175"/>
      <c r="AD560" s="157" t="str">
        <f t="shared" si="63"/>
        <v>0</v>
      </c>
      <c r="AE560" s="98" t="str">
        <f t="shared" si="64"/>
        <v/>
      </c>
      <c r="AF560" s="80" t="str">
        <f t="shared" si="65"/>
        <v>-</v>
      </c>
    </row>
    <row r="561" spans="2:32" outlineLevel="1">
      <c r="B561" s="175" t="str">
        <f>IF(OR('Inventaire M'!D334="Dispo/Liquidité Investie",'Inventaire M'!D334="Option/Future",'Inventaire M'!D334="TCN",'Inventaire M'!D334=""),"-",'Inventaire M'!A334)</f>
        <v>-</v>
      </c>
      <c r="C561" s="175" t="str">
        <f>IF(OR('Inventaire M'!D334="Dispo/Liquidité Investie",'Inventaire M'!D334="Option/Future",'Inventaire M'!D334="TCN",'Inventaire M'!D334=""),"-",'Inventaire M'!B334)</f>
        <v>-</v>
      </c>
      <c r="D561" s="175"/>
      <c r="E561" s="175" t="str">
        <f>IF(B561="-","",INDEX('Inventaire M'!$A$2:$AW$9305,MATCH(B561,'Inventaire M'!$A:$A,0)-1,MATCH("Cours EUR",'Inventaire M'!#REF!,0)))</f>
        <v/>
      </c>
      <c r="F561" s="175" t="str">
        <f>IF(B561="-","",IF(ISERROR(INDEX('Inventaire M-1'!$A$2:$AZ$9320,MATCH(B561,'Inventaire M-1'!$A:$A,0)-1,MATCH("Cours EUR",'Inventaire M-1'!#REF!,0))),"Buy",INDEX('Inventaire M-1'!$A$2:$AZ$9320,MATCH(B561,'Inventaire M-1'!$A:$A,0)-1,MATCH("Cours EUR",'Inventaire M-1'!#REF!,0))))</f>
        <v/>
      </c>
      <c r="G561" s="175"/>
      <c r="H561" s="156" t="str">
        <f>IF(B561="-","",INDEX('Inventaire M'!$A$2:$AW$9305,MATCH(B561,'Inventaire M'!$A:$A,0)-1,MATCH("quantite",'Inventaire M'!#REF!,0)))</f>
        <v/>
      </c>
      <c r="I561" s="156" t="str">
        <f>IF(C561="-","",IF(ISERROR(INDEX('Inventaire M-1'!$A$2:$AZ$9320,MATCH(B561,'Inventaire M-1'!$A:$A,0)-1,MATCH("quantite",'Inventaire M-1'!#REF!,0))),"Buy",INDEX('Inventaire M-1'!$A$2:$AZ$9320,MATCH(B561,'Inventaire M-1'!$A:$A,0)-1,MATCH("quantite",'Inventaire M-1'!#REF!,0))))</f>
        <v/>
      </c>
      <c r="J561" s="175"/>
      <c r="K561" s="155" t="str">
        <f>IF(B561="-","",INDEX('Inventaire M'!$A$2:$AW$9305,MATCH(B561,'Inventaire M'!$A:$A,0)-1,MATCH("poids",'Inventaire M'!#REF!,0)))</f>
        <v/>
      </c>
      <c r="L561" s="155" t="str">
        <f>IF(B561="-","",IF(ISERROR(INDEX('Inventaire M-1'!$A$2:$AZ$9320,MATCH(B561,'Inventaire M-1'!$A:$A,0)-1,MATCH("poids",'Inventaire M-1'!#REF!,0))),"Buy",INDEX('Inventaire M-1'!$A$2:$AZ$9320,MATCH(B561,'Inventaire M-1'!$A:$A,0)-1,MATCH("poids",'Inventaire M-1'!#REF!,0))))</f>
        <v/>
      </c>
      <c r="M561" s="175"/>
      <c r="N561" s="157" t="str">
        <f t="shared" si="61"/>
        <v>0</v>
      </c>
      <c r="O561" s="98" t="str">
        <f t="shared" si="60"/>
        <v/>
      </c>
      <c r="P561" s="80" t="str">
        <f t="shared" si="62"/>
        <v>-</v>
      </c>
      <c r="Q561" s="75">
        <v>5.3699999999999998E-8</v>
      </c>
      <c r="R561" s="175" t="str">
        <f>IF(OR('Inventaire M-1'!D313="Dispo/Liquidité Investie",'Inventaire M-1'!D313="Option/Future",'Inventaire M-1'!D313="TCN",'Inventaire M-1'!D313=""),"-",'Inventaire M-1'!A313)</f>
        <v>-</v>
      </c>
      <c r="S561" s="175" t="str">
        <f>IF(OR('Inventaire M-1'!D313="Dispo/Liquidité Investie",'Inventaire M-1'!D313="Option/Future",'Inventaire M-1'!D313="TCN",'Inventaire M-1'!D313=""),"-",'Inventaire M-1'!B313)</f>
        <v>-</v>
      </c>
      <c r="T561" s="175"/>
      <c r="U561" s="175" t="str">
        <f>IF(R561="-","",INDEX('Inventaire M-1'!$A$2:$AG$9334,MATCH(R561,'Inventaire M-1'!$A:$A,0)-1,MATCH("Cours EUR",'Inventaire M-1'!#REF!,0)))</f>
        <v/>
      </c>
      <c r="V561" s="175" t="str">
        <f>IF(R561="-","",IF(ISERROR(INDEX('Inventaire M'!$A$2:$AD$9319,MATCH(R561,'Inventaire M'!$A:$A,0)-1,MATCH("Cours EUR",'Inventaire M'!#REF!,0))),"Sell",INDEX('Inventaire M'!$A$2:$AD$9319,MATCH(R561,'Inventaire M'!$A:$A,0)-1,MATCH("Cours EUR",'Inventaire M'!#REF!,0))))</f>
        <v/>
      </c>
      <c r="W561" s="175"/>
      <c r="X561" s="156" t="str">
        <f>IF(R561="-","",INDEX('Inventaire M-1'!$A$2:$AG$9334,MATCH(R561,'Inventaire M-1'!$A:$A,0)-1,MATCH("quantite",'Inventaire M-1'!#REF!,0)))</f>
        <v/>
      </c>
      <c r="Y561" s="156" t="str">
        <f>IF(S561="-","",IF(ISERROR(INDEX('Inventaire M'!$A$2:$AD$9319,MATCH(R561,'Inventaire M'!$A:$A,0)-1,MATCH("quantite",'Inventaire M'!#REF!,0))),"Sell",INDEX('Inventaire M'!$A$2:$AD$9319,MATCH(R561,'Inventaire M'!$A:$A,0)-1,MATCH("quantite",'Inventaire M'!#REF!,0))))</f>
        <v/>
      </c>
      <c r="Z561" s="175"/>
      <c r="AA561" s="155" t="str">
        <f>IF(R561="-","",INDEX('Inventaire M-1'!$A$2:$AG$9334,MATCH(R561,'Inventaire M-1'!$A:$A,0)-1,MATCH("poids",'Inventaire M-1'!#REF!,0)))</f>
        <v/>
      </c>
      <c r="AB561" s="155" t="str">
        <f>IF(R561="-","",IF(ISERROR(INDEX('Inventaire M'!$A$2:$AD$9319,MATCH(R561,'Inventaire M'!$A:$A,0)-1,MATCH("poids",'Inventaire M'!#REF!,0))),"Sell",INDEX('Inventaire M'!$A$2:$AD$9319,MATCH(R561,'Inventaire M'!$A:$A,0)-1,MATCH("poids",'Inventaire M'!#REF!,0))))</f>
        <v/>
      </c>
      <c r="AC561" s="175"/>
      <c r="AD561" s="157" t="str">
        <f t="shared" si="63"/>
        <v>0</v>
      </c>
      <c r="AE561" s="98" t="str">
        <f t="shared" si="64"/>
        <v/>
      </c>
      <c r="AF561" s="80" t="str">
        <f t="shared" si="65"/>
        <v>-</v>
      </c>
    </row>
    <row r="562" spans="2:32" outlineLevel="1">
      <c r="B562" s="175" t="str">
        <f>IF(OR('Inventaire M'!D335="Dispo/Liquidité Investie",'Inventaire M'!D335="Option/Future",'Inventaire M'!D335="TCN",'Inventaire M'!D335=""),"-",'Inventaire M'!A335)</f>
        <v>-</v>
      </c>
      <c r="C562" s="175" t="str">
        <f>IF(OR('Inventaire M'!D335="Dispo/Liquidité Investie",'Inventaire M'!D335="Option/Future",'Inventaire M'!D335="TCN",'Inventaire M'!D335=""),"-",'Inventaire M'!B335)</f>
        <v>-</v>
      </c>
      <c r="D562" s="175"/>
      <c r="E562" s="175" t="str">
        <f>IF(B562="-","",INDEX('Inventaire M'!$A$2:$AW$9305,MATCH(B562,'Inventaire M'!$A:$A,0)-1,MATCH("Cours EUR",'Inventaire M'!#REF!,0)))</f>
        <v/>
      </c>
      <c r="F562" s="175" t="str">
        <f>IF(B562="-","",IF(ISERROR(INDEX('Inventaire M-1'!$A$2:$AZ$9320,MATCH(B562,'Inventaire M-1'!$A:$A,0)-1,MATCH("Cours EUR",'Inventaire M-1'!#REF!,0))),"Buy",INDEX('Inventaire M-1'!$A$2:$AZ$9320,MATCH(B562,'Inventaire M-1'!$A:$A,0)-1,MATCH("Cours EUR",'Inventaire M-1'!#REF!,0))))</f>
        <v/>
      </c>
      <c r="G562" s="175"/>
      <c r="H562" s="156" t="str">
        <f>IF(B562="-","",INDEX('Inventaire M'!$A$2:$AW$9305,MATCH(B562,'Inventaire M'!$A:$A,0)-1,MATCH("quantite",'Inventaire M'!#REF!,0)))</f>
        <v/>
      </c>
      <c r="I562" s="156" t="str">
        <f>IF(C562="-","",IF(ISERROR(INDEX('Inventaire M-1'!$A$2:$AZ$9320,MATCH(B562,'Inventaire M-1'!$A:$A,0)-1,MATCH("quantite",'Inventaire M-1'!#REF!,0))),"Buy",INDEX('Inventaire M-1'!$A$2:$AZ$9320,MATCH(B562,'Inventaire M-1'!$A:$A,0)-1,MATCH("quantite",'Inventaire M-1'!#REF!,0))))</f>
        <v/>
      </c>
      <c r="J562" s="175"/>
      <c r="K562" s="155" t="str">
        <f>IF(B562="-","",INDEX('Inventaire M'!$A$2:$AW$9305,MATCH(B562,'Inventaire M'!$A:$A,0)-1,MATCH("poids",'Inventaire M'!#REF!,0)))</f>
        <v/>
      </c>
      <c r="L562" s="155" t="str">
        <f>IF(B562="-","",IF(ISERROR(INDEX('Inventaire M-1'!$A$2:$AZ$9320,MATCH(B562,'Inventaire M-1'!$A:$A,0)-1,MATCH("poids",'Inventaire M-1'!#REF!,0))),"Buy",INDEX('Inventaire M-1'!$A$2:$AZ$9320,MATCH(B562,'Inventaire M-1'!$A:$A,0)-1,MATCH("poids",'Inventaire M-1'!#REF!,0))))</f>
        <v/>
      </c>
      <c r="M562" s="175"/>
      <c r="N562" s="157" t="str">
        <f t="shared" si="61"/>
        <v>0</v>
      </c>
      <c r="O562" s="98" t="str">
        <f t="shared" si="60"/>
        <v/>
      </c>
      <c r="P562" s="80" t="str">
        <f t="shared" si="62"/>
        <v>-</v>
      </c>
      <c r="Q562" s="75">
        <v>5.3799999999999999E-8</v>
      </c>
      <c r="R562" s="175" t="str">
        <f>IF(OR('Inventaire M-1'!D314="Dispo/Liquidité Investie",'Inventaire M-1'!D314="Option/Future",'Inventaire M-1'!D314="TCN",'Inventaire M-1'!D314=""),"-",'Inventaire M-1'!A314)</f>
        <v>-</v>
      </c>
      <c r="S562" s="175" t="str">
        <f>IF(OR('Inventaire M-1'!D314="Dispo/Liquidité Investie",'Inventaire M-1'!D314="Option/Future",'Inventaire M-1'!D314="TCN",'Inventaire M-1'!D314=""),"-",'Inventaire M-1'!B314)</f>
        <v>-</v>
      </c>
      <c r="T562" s="175"/>
      <c r="U562" s="175" t="str">
        <f>IF(R562="-","",INDEX('Inventaire M-1'!$A$2:$AG$9334,MATCH(R562,'Inventaire M-1'!$A:$A,0)-1,MATCH("Cours EUR",'Inventaire M-1'!#REF!,0)))</f>
        <v/>
      </c>
      <c r="V562" s="175" t="str">
        <f>IF(R562="-","",IF(ISERROR(INDEX('Inventaire M'!$A$2:$AD$9319,MATCH(R562,'Inventaire M'!$A:$A,0)-1,MATCH("Cours EUR",'Inventaire M'!#REF!,0))),"Sell",INDEX('Inventaire M'!$A$2:$AD$9319,MATCH(R562,'Inventaire M'!$A:$A,0)-1,MATCH("Cours EUR",'Inventaire M'!#REF!,0))))</f>
        <v/>
      </c>
      <c r="W562" s="175"/>
      <c r="X562" s="156" t="str">
        <f>IF(R562="-","",INDEX('Inventaire M-1'!$A$2:$AG$9334,MATCH(R562,'Inventaire M-1'!$A:$A,0)-1,MATCH("quantite",'Inventaire M-1'!#REF!,0)))</f>
        <v/>
      </c>
      <c r="Y562" s="156" t="str">
        <f>IF(S562="-","",IF(ISERROR(INDEX('Inventaire M'!$A$2:$AD$9319,MATCH(R562,'Inventaire M'!$A:$A,0)-1,MATCH("quantite",'Inventaire M'!#REF!,0))),"Sell",INDEX('Inventaire M'!$A$2:$AD$9319,MATCH(R562,'Inventaire M'!$A:$A,0)-1,MATCH("quantite",'Inventaire M'!#REF!,0))))</f>
        <v/>
      </c>
      <c r="Z562" s="175"/>
      <c r="AA562" s="155" t="str">
        <f>IF(R562="-","",INDEX('Inventaire M-1'!$A$2:$AG$9334,MATCH(R562,'Inventaire M-1'!$A:$A,0)-1,MATCH("poids",'Inventaire M-1'!#REF!,0)))</f>
        <v/>
      </c>
      <c r="AB562" s="155" t="str">
        <f>IF(R562="-","",IF(ISERROR(INDEX('Inventaire M'!$A$2:$AD$9319,MATCH(R562,'Inventaire M'!$A:$A,0)-1,MATCH("poids",'Inventaire M'!#REF!,0))),"Sell",INDEX('Inventaire M'!$A$2:$AD$9319,MATCH(R562,'Inventaire M'!$A:$A,0)-1,MATCH("poids",'Inventaire M'!#REF!,0))))</f>
        <v/>
      </c>
      <c r="AC562" s="175"/>
      <c r="AD562" s="157" t="str">
        <f t="shared" si="63"/>
        <v>0</v>
      </c>
      <c r="AE562" s="98" t="str">
        <f t="shared" si="64"/>
        <v/>
      </c>
      <c r="AF562" s="80" t="str">
        <f t="shared" si="65"/>
        <v>-</v>
      </c>
    </row>
    <row r="563" spans="2:32" outlineLevel="1">
      <c r="B563" s="175" t="str">
        <f>IF(OR('Inventaire M'!D336="Dispo/Liquidité Investie",'Inventaire M'!D336="Option/Future",'Inventaire M'!D336="TCN",'Inventaire M'!D336=""),"-",'Inventaire M'!A336)</f>
        <v>-</v>
      </c>
      <c r="C563" s="175" t="str">
        <f>IF(OR('Inventaire M'!D336="Dispo/Liquidité Investie",'Inventaire M'!D336="Option/Future",'Inventaire M'!D336="TCN",'Inventaire M'!D336=""),"-",'Inventaire M'!B336)</f>
        <v>-</v>
      </c>
      <c r="D563" s="175"/>
      <c r="E563" s="175" t="str">
        <f>IF(B563="-","",INDEX('Inventaire M'!$A$2:$AW$9305,MATCH(B563,'Inventaire M'!$A:$A,0)-1,MATCH("Cours EUR",'Inventaire M'!#REF!,0)))</f>
        <v/>
      </c>
      <c r="F563" s="175" t="str">
        <f>IF(B563="-","",IF(ISERROR(INDEX('Inventaire M-1'!$A$2:$AZ$9320,MATCH(B563,'Inventaire M-1'!$A:$A,0)-1,MATCH("Cours EUR",'Inventaire M-1'!#REF!,0))),"Buy",INDEX('Inventaire M-1'!$A$2:$AZ$9320,MATCH(B563,'Inventaire M-1'!$A:$A,0)-1,MATCH("Cours EUR",'Inventaire M-1'!#REF!,0))))</f>
        <v/>
      </c>
      <c r="G563" s="175"/>
      <c r="H563" s="156" t="str">
        <f>IF(B563="-","",INDEX('Inventaire M'!$A$2:$AW$9305,MATCH(B563,'Inventaire M'!$A:$A,0)-1,MATCH("quantite",'Inventaire M'!#REF!,0)))</f>
        <v/>
      </c>
      <c r="I563" s="156" t="str">
        <f>IF(C563="-","",IF(ISERROR(INDEX('Inventaire M-1'!$A$2:$AZ$9320,MATCH(B563,'Inventaire M-1'!$A:$A,0)-1,MATCH("quantite",'Inventaire M-1'!#REF!,0))),"Buy",INDEX('Inventaire M-1'!$A$2:$AZ$9320,MATCH(B563,'Inventaire M-1'!$A:$A,0)-1,MATCH("quantite",'Inventaire M-1'!#REF!,0))))</f>
        <v/>
      </c>
      <c r="J563" s="175"/>
      <c r="K563" s="155" t="str">
        <f>IF(B563="-","",INDEX('Inventaire M'!$A$2:$AW$9305,MATCH(B563,'Inventaire M'!$A:$A,0)-1,MATCH("poids",'Inventaire M'!#REF!,0)))</f>
        <v/>
      </c>
      <c r="L563" s="155" t="str">
        <f>IF(B563="-","",IF(ISERROR(INDEX('Inventaire M-1'!$A$2:$AZ$9320,MATCH(B563,'Inventaire M-1'!$A:$A,0)-1,MATCH("poids",'Inventaire M-1'!#REF!,0))),"Buy",INDEX('Inventaire M-1'!$A$2:$AZ$9320,MATCH(B563,'Inventaire M-1'!$A:$A,0)-1,MATCH("poids",'Inventaire M-1'!#REF!,0))))</f>
        <v/>
      </c>
      <c r="M563" s="175"/>
      <c r="N563" s="157" t="str">
        <f t="shared" si="61"/>
        <v>0</v>
      </c>
      <c r="O563" s="98" t="str">
        <f t="shared" si="60"/>
        <v/>
      </c>
      <c r="P563" s="80" t="str">
        <f t="shared" si="62"/>
        <v>-</v>
      </c>
      <c r="Q563" s="75">
        <v>5.39E-8</v>
      </c>
      <c r="R563" s="175" t="str">
        <f>IF(OR('Inventaire M-1'!D315="Dispo/Liquidité Investie",'Inventaire M-1'!D315="Option/Future",'Inventaire M-1'!D315="TCN",'Inventaire M-1'!D315=""),"-",'Inventaire M-1'!A315)</f>
        <v>-</v>
      </c>
      <c r="S563" s="175" t="str">
        <f>IF(OR('Inventaire M-1'!D315="Dispo/Liquidité Investie",'Inventaire M-1'!D315="Option/Future",'Inventaire M-1'!D315="TCN",'Inventaire M-1'!D315=""),"-",'Inventaire M-1'!B315)</f>
        <v>-</v>
      </c>
      <c r="T563" s="175"/>
      <c r="U563" s="175" t="str">
        <f>IF(R563="-","",INDEX('Inventaire M-1'!$A$2:$AG$9334,MATCH(R563,'Inventaire M-1'!$A:$A,0)-1,MATCH("Cours EUR",'Inventaire M-1'!#REF!,0)))</f>
        <v/>
      </c>
      <c r="V563" s="175" t="str">
        <f>IF(R563="-","",IF(ISERROR(INDEX('Inventaire M'!$A$2:$AD$9319,MATCH(R563,'Inventaire M'!$A:$A,0)-1,MATCH("Cours EUR",'Inventaire M'!#REF!,0))),"Sell",INDEX('Inventaire M'!$A$2:$AD$9319,MATCH(R563,'Inventaire M'!$A:$A,0)-1,MATCH("Cours EUR",'Inventaire M'!#REF!,0))))</f>
        <v/>
      </c>
      <c r="W563" s="175"/>
      <c r="X563" s="156" t="str">
        <f>IF(R563="-","",INDEX('Inventaire M-1'!$A$2:$AG$9334,MATCH(R563,'Inventaire M-1'!$A:$A,0)-1,MATCH("quantite",'Inventaire M-1'!#REF!,0)))</f>
        <v/>
      </c>
      <c r="Y563" s="156" t="str">
        <f>IF(S563="-","",IF(ISERROR(INDEX('Inventaire M'!$A$2:$AD$9319,MATCH(R563,'Inventaire M'!$A:$A,0)-1,MATCH("quantite",'Inventaire M'!#REF!,0))),"Sell",INDEX('Inventaire M'!$A$2:$AD$9319,MATCH(R563,'Inventaire M'!$A:$A,0)-1,MATCH("quantite",'Inventaire M'!#REF!,0))))</f>
        <v/>
      </c>
      <c r="Z563" s="175"/>
      <c r="AA563" s="155" t="str">
        <f>IF(R563="-","",INDEX('Inventaire M-1'!$A$2:$AG$9334,MATCH(R563,'Inventaire M-1'!$A:$A,0)-1,MATCH("poids",'Inventaire M-1'!#REF!,0)))</f>
        <v/>
      </c>
      <c r="AB563" s="155" t="str">
        <f>IF(R563="-","",IF(ISERROR(INDEX('Inventaire M'!$A$2:$AD$9319,MATCH(R563,'Inventaire M'!$A:$A,0)-1,MATCH("poids",'Inventaire M'!#REF!,0))),"Sell",INDEX('Inventaire M'!$A$2:$AD$9319,MATCH(R563,'Inventaire M'!$A:$A,0)-1,MATCH("poids",'Inventaire M'!#REF!,0))))</f>
        <v/>
      </c>
      <c r="AC563" s="175"/>
      <c r="AD563" s="157" t="str">
        <f t="shared" si="63"/>
        <v>0</v>
      </c>
      <c r="AE563" s="98" t="str">
        <f t="shared" si="64"/>
        <v/>
      </c>
      <c r="AF563" s="80" t="str">
        <f t="shared" si="65"/>
        <v>-</v>
      </c>
    </row>
    <row r="564" spans="2:32" outlineLevel="1">
      <c r="B564" s="175" t="str">
        <f>IF(OR('Inventaire M'!D337="Dispo/Liquidité Investie",'Inventaire M'!D337="Option/Future",'Inventaire M'!D337="TCN",'Inventaire M'!D337=""),"-",'Inventaire M'!A337)</f>
        <v>-</v>
      </c>
      <c r="C564" s="175" t="str">
        <f>IF(OR('Inventaire M'!D337="Dispo/Liquidité Investie",'Inventaire M'!D337="Option/Future",'Inventaire M'!D337="TCN",'Inventaire M'!D337=""),"-",'Inventaire M'!B337)</f>
        <v>-</v>
      </c>
      <c r="D564" s="175"/>
      <c r="E564" s="175" t="str">
        <f>IF(B564="-","",INDEX('Inventaire M'!$A$2:$AW$9305,MATCH(B564,'Inventaire M'!$A:$A,0)-1,MATCH("Cours EUR",'Inventaire M'!#REF!,0)))</f>
        <v/>
      </c>
      <c r="F564" s="175" t="str">
        <f>IF(B564="-","",IF(ISERROR(INDEX('Inventaire M-1'!$A$2:$AZ$9320,MATCH(B564,'Inventaire M-1'!$A:$A,0)-1,MATCH("Cours EUR",'Inventaire M-1'!#REF!,0))),"Buy",INDEX('Inventaire M-1'!$A$2:$AZ$9320,MATCH(B564,'Inventaire M-1'!$A:$A,0)-1,MATCH("Cours EUR",'Inventaire M-1'!#REF!,0))))</f>
        <v/>
      </c>
      <c r="G564" s="175"/>
      <c r="H564" s="156" t="str">
        <f>IF(B564="-","",INDEX('Inventaire M'!$A$2:$AW$9305,MATCH(B564,'Inventaire M'!$A:$A,0)-1,MATCH("quantite",'Inventaire M'!#REF!,0)))</f>
        <v/>
      </c>
      <c r="I564" s="156" t="str">
        <f>IF(C564="-","",IF(ISERROR(INDEX('Inventaire M-1'!$A$2:$AZ$9320,MATCH(B564,'Inventaire M-1'!$A:$A,0)-1,MATCH("quantite",'Inventaire M-1'!#REF!,0))),"Buy",INDEX('Inventaire M-1'!$A$2:$AZ$9320,MATCH(B564,'Inventaire M-1'!$A:$A,0)-1,MATCH("quantite",'Inventaire M-1'!#REF!,0))))</f>
        <v/>
      </c>
      <c r="J564" s="175"/>
      <c r="K564" s="155" t="str">
        <f>IF(B564="-","",INDEX('Inventaire M'!$A$2:$AW$9305,MATCH(B564,'Inventaire M'!$A:$A,0)-1,MATCH("poids",'Inventaire M'!#REF!,0)))</f>
        <v/>
      </c>
      <c r="L564" s="155" t="str">
        <f>IF(B564="-","",IF(ISERROR(INDEX('Inventaire M-1'!$A$2:$AZ$9320,MATCH(B564,'Inventaire M-1'!$A:$A,0)-1,MATCH("poids",'Inventaire M-1'!#REF!,0))),"Buy",INDEX('Inventaire M-1'!$A$2:$AZ$9320,MATCH(B564,'Inventaire M-1'!$A:$A,0)-1,MATCH("poids",'Inventaire M-1'!#REF!,0))))</f>
        <v/>
      </c>
      <c r="M564" s="175"/>
      <c r="N564" s="157" t="str">
        <f t="shared" si="61"/>
        <v>0</v>
      </c>
      <c r="O564" s="98" t="str">
        <f t="shared" si="60"/>
        <v/>
      </c>
      <c r="P564" s="80" t="str">
        <f t="shared" si="62"/>
        <v>-</v>
      </c>
      <c r="Q564" s="75">
        <v>5.4E-8</v>
      </c>
      <c r="R564" s="175" t="str">
        <f>IF(OR('Inventaire M-1'!D316="Dispo/Liquidité Investie",'Inventaire M-1'!D316="Option/Future",'Inventaire M-1'!D316="TCN",'Inventaire M-1'!D316=""),"-",'Inventaire M-1'!A316)</f>
        <v>-</v>
      </c>
      <c r="S564" s="175" t="str">
        <f>IF(OR('Inventaire M-1'!D316="Dispo/Liquidité Investie",'Inventaire M-1'!D316="Option/Future",'Inventaire M-1'!D316="TCN",'Inventaire M-1'!D316=""),"-",'Inventaire M-1'!B316)</f>
        <v>-</v>
      </c>
      <c r="T564" s="175"/>
      <c r="U564" s="175" t="str">
        <f>IF(R564="-","",INDEX('Inventaire M-1'!$A$2:$AG$9334,MATCH(R564,'Inventaire M-1'!$A:$A,0)-1,MATCH("Cours EUR",'Inventaire M-1'!#REF!,0)))</f>
        <v/>
      </c>
      <c r="V564" s="175" t="str">
        <f>IF(R564="-","",IF(ISERROR(INDEX('Inventaire M'!$A$2:$AD$9319,MATCH(R564,'Inventaire M'!$A:$A,0)-1,MATCH("Cours EUR",'Inventaire M'!#REF!,0))),"Sell",INDEX('Inventaire M'!$A$2:$AD$9319,MATCH(R564,'Inventaire M'!$A:$A,0)-1,MATCH("Cours EUR",'Inventaire M'!#REF!,0))))</f>
        <v/>
      </c>
      <c r="W564" s="175"/>
      <c r="X564" s="156" t="str">
        <f>IF(R564="-","",INDEX('Inventaire M-1'!$A$2:$AG$9334,MATCH(R564,'Inventaire M-1'!$A:$A,0)-1,MATCH("quantite",'Inventaire M-1'!#REF!,0)))</f>
        <v/>
      </c>
      <c r="Y564" s="156" t="str">
        <f>IF(S564="-","",IF(ISERROR(INDEX('Inventaire M'!$A$2:$AD$9319,MATCH(R564,'Inventaire M'!$A:$A,0)-1,MATCH("quantite",'Inventaire M'!#REF!,0))),"Sell",INDEX('Inventaire M'!$A$2:$AD$9319,MATCH(R564,'Inventaire M'!$A:$A,0)-1,MATCH("quantite",'Inventaire M'!#REF!,0))))</f>
        <v/>
      </c>
      <c r="Z564" s="175"/>
      <c r="AA564" s="155" t="str">
        <f>IF(R564="-","",INDEX('Inventaire M-1'!$A$2:$AG$9334,MATCH(R564,'Inventaire M-1'!$A:$A,0)-1,MATCH("poids",'Inventaire M-1'!#REF!,0)))</f>
        <v/>
      </c>
      <c r="AB564" s="155" t="str">
        <f>IF(R564="-","",IF(ISERROR(INDEX('Inventaire M'!$A$2:$AD$9319,MATCH(R564,'Inventaire M'!$A:$A,0)-1,MATCH("poids",'Inventaire M'!#REF!,0))),"Sell",INDEX('Inventaire M'!$A$2:$AD$9319,MATCH(R564,'Inventaire M'!$A:$A,0)-1,MATCH("poids",'Inventaire M'!#REF!,0))))</f>
        <v/>
      </c>
      <c r="AC564" s="175"/>
      <c r="AD564" s="157" t="str">
        <f t="shared" si="63"/>
        <v>0</v>
      </c>
      <c r="AE564" s="98" t="str">
        <f t="shared" si="64"/>
        <v/>
      </c>
      <c r="AF564" s="80" t="str">
        <f t="shared" si="65"/>
        <v>-</v>
      </c>
    </row>
    <row r="565" spans="2:32" outlineLevel="1">
      <c r="B565" s="175" t="str">
        <f>IF(OR('Inventaire M'!D338="Dispo/Liquidité Investie",'Inventaire M'!D338="Option/Future",'Inventaire M'!D338="TCN",'Inventaire M'!D338=""),"-",'Inventaire M'!A338)</f>
        <v>-</v>
      </c>
      <c r="C565" s="175" t="str">
        <f>IF(OR('Inventaire M'!D338="Dispo/Liquidité Investie",'Inventaire M'!D338="Option/Future",'Inventaire M'!D338="TCN",'Inventaire M'!D338=""),"-",'Inventaire M'!B338)</f>
        <v>-</v>
      </c>
      <c r="D565" s="175"/>
      <c r="E565" s="175" t="str">
        <f>IF(B565="-","",INDEX('Inventaire M'!$A$2:$AW$9305,MATCH(B565,'Inventaire M'!$A:$A,0)-1,MATCH("Cours EUR",'Inventaire M'!#REF!,0)))</f>
        <v/>
      </c>
      <c r="F565" s="175" t="str">
        <f>IF(B565="-","",IF(ISERROR(INDEX('Inventaire M-1'!$A$2:$AZ$9320,MATCH(B565,'Inventaire M-1'!$A:$A,0)-1,MATCH("Cours EUR",'Inventaire M-1'!#REF!,0))),"Buy",INDEX('Inventaire M-1'!$A$2:$AZ$9320,MATCH(B565,'Inventaire M-1'!$A:$A,0)-1,MATCH("Cours EUR",'Inventaire M-1'!#REF!,0))))</f>
        <v/>
      </c>
      <c r="G565" s="175"/>
      <c r="H565" s="156" t="str">
        <f>IF(B565="-","",INDEX('Inventaire M'!$A$2:$AW$9305,MATCH(B565,'Inventaire M'!$A:$A,0)-1,MATCH("quantite",'Inventaire M'!#REF!,0)))</f>
        <v/>
      </c>
      <c r="I565" s="156" t="str">
        <f>IF(C565="-","",IF(ISERROR(INDEX('Inventaire M-1'!$A$2:$AZ$9320,MATCH(B565,'Inventaire M-1'!$A:$A,0)-1,MATCH("quantite",'Inventaire M-1'!#REF!,0))),"Buy",INDEX('Inventaire M-1'!$A$2:$AZ$9320,MATCH(B565,'Inventaire M-1'!$A:$A,0)-1,MATCH("quantite",'Inventaire M-1'!#REF!,0))))</f>
        <v/>
      </c>
      <c r="J565" s="175"/>
      <c r="K565" s="155" t="str">
        <f>IF(B565="-","",INDEX('Inventaire M'!$A$2:$AW$9305,MATCH(B565,'Inventaire M'!$A:$A,0)-1,MATCH("poids",'Inventaire M'!#REF!,0)))</f>
        <v/>
      </c>
      <c r="L565" s="155" t="str">
        <f>IF(B565="-","",IF(ISERROR(INDEX('Inventaire M-1'!$A$2:$AZ$9320,MATCH(B565,'Inventaire M-1'!$A:$A,0)-1,MATCH("poids",'Inventaire M-1'!#REF!,0))),"Buy",INDEX('Inventaire M-1'!$A$2:$AZ$9320,MATCH(B565,'Inventaire M-1'!$A:$A,0)-1,MATCH("poids",'Inventaire M-1'!#REF!,0))))</f>
        <v/>
      </c>
      <c r="M565" s="175"/>
      <c r="N565" s="157" t="str">
        <f t="shared" si="61"/>
        <v>0</v>
      </c>
      <c r="O565" s="98" t="str">
        <f t="shared" si="60"/>
        <v/>
      </c>
      <c r="P565" s="80" t="str">
        <f t="shared" si="62"/>
        <v>-</v>
      </c>
      <c r="Q565" s="75">
        <v>5.4100000000000001E-8</v>
      </c>
      <c r="R565" s="175" t="str">
        <f>IF(OR('Inventaire M-1'!D317="Dispo/Liquidité Investie",'Inventaire M-1'!D317="Option/Future",'Inventaire M-1'!D317="TCN",'Inventaire M-1'!D317=""),"-",'Inventaire M-1'!A317)</f>
        <v>-</v>
      </c>
      <c r="S565" s="175" t="str">
        <f>IF(OR('Inventaire M-1'!D317="Dispo/Liquidité Investie",'Inventaire M-1'!D317="Option/Future",'Inventaire M-1'!D317="TCN",'Inventaire M-1'!D317=""),"-",'Inventaire M-1'!B317)</f>
        <v>-</v>
      </c>
      <c r="T565" s="175"/>
      <c r="U565" s="175" t="str">
        <f>IF(R565="-","",INDEX('Inventaire M-1'!$A$2:$AG$9334,MATCH(R565,'Inventaire M-1'!$A:$A,0)-1,MATCH("Cours EUR",'Inventaire M-1'!#REF!,0)))</f>
        <v/>
      </c>
      <c r="V565" s="175" t="str">
        <f>IF(R565="-","",IF(ISERROR(INDEX('Inventaire M'!$A$2:$AD$9319,MATCH(R565,'Inventaire M'!$A:$A,0)-1,MATCH("Cours EUR",'Inventaire M'!#REF!,0))),"Sell",INDEX('Inventaire M'!$A$2:$AD$9319,MATCH(R565,'Inventaire M'!$A:$A,0)-1,MATCH("Cours EUR",'Inventaire M'!#REF!,0))))</f>
        <v/>
      </c>
      <c r="W565" s="175"/>
      <c r="X565" s="156" t="str">
        <f>IF(R565="-","",INDEX('Inventaire M-1'!$A$2:$AG$9334,MATCH(R565,'Inventaire M-1'!$A:$A,0)-1,MATCH("quantite",'Inventaire M-1'!#REF!,0)))</f>
        <v/>
      </c>
      <c r="Y565" s="156" t="str">
        <f>IF(S565="-","",IF(ISERROR(INDEX('Inventaire M'!$A$2:$AD$9319,MATCH(R565,'Inventaire M'!$A:$A,0)-1,MATCH("quantite",'Inventaire M'!#REF!,0))),"Sell",INDEX('Inventaire M'!$A$2:$AD$9319,MATCH(R565,'Inventaire M'!$A:$A,0)-1,MATCH("quantite",'Inventaire M'!#REF!,0))))</f>
        <v/>
      </c>
      <c r="Z565" s="175"/>
      <c r="AA565" s="155" t="str">
        <f>IF(R565="-","",INDEX('Inventaire M-1'!$A$2:$AG$9334,MATCH(R565,'Inventaire M-1'!$A:$A,0)-1,MATCH("poids",'Inventaire M-1'!#REF!,0)))</f>
        <v/>
      </c>
      <c r="AB565" s="155" t="str">
        <f>IF(R565="-","",IF(ISERROR(INDEX('Inventaire M'!$A$2:$AD$9319,MATCH(R565,'Inventaire M'!$A:$A,0)-1,MATCH("poids",'Inventaire M'!#REF!,0))),"Sell",INDEX('Inventaire M'!$A$2:$AD$9319,MATCH(R565,'Inventaire M'!$A:$A,0)-1,MATCH("poids",'Inventaire M'!#REF!,0))))</f>
        <v/>
      </c>
      <c r="AC565" s="175"/>
      <c r="AD565" s="157" t="str">
        <f t="shared" si="63"/>
        <v>0</v>
      </c>
      <c r="AE565" s="98" t="str">
        <f t="shared" si="64"/>
        <v/>
      </c>
      <c r="AF565" s="80" t="str">
        <f t="shared" si="65"/>
        <v>-</v>
      </c>
    </row>
    <row r="566" spans="2:32" outlineLevel="1">
      <c r="B566" s="175" t="str">
        <f>IF(OR('Inventaire M'!D339="Dispo/Liquidité Investie",'Inventaire M'!D339="Option/Future",'Inventaire M'!D339="TCN",'Inventaire M'!D339=""),"-",'Inventaire M'!A339)</f>
        <v>-</v>
      </c>
      <c r="C566" s="175" t="str">
        <f>IF(OR('Inventaire M'!D339="Dispo/Liquidité Investie",'Inventaire M'!D339="Option/Future",'Inventaire M'!D339="TCN",'Inventaire M'!D339=""),"-",'Inventaire M'!B339)</f>
        <v>-</v>
      </c>
      <c r="D566" s="175"/>
      <c r="E566" s="175" t="str">
        <f>IF(B566="-","",INDEX('Inventaire M'!$A$2:$AW$9305,MATCH(B566,'Inventaire M'!$A:$A,0)-1,MATCH("Cours EUR",'Inventaire M'!#REF!,0)))</f>
        <v/>
      </c>
      <c r="F566" s="175" t="str">
        <f>IF(B566="-","",IF(ISERROR(INDEX('Inventaire M-1'!$A$2:$AZ$9320,MATCH(B566,'Inventaire M-1'!$A:$A,0)-1,MATCH("Cours EUR",'Inventaire M-1'!#REF!,0))),"Buy",INDEX('Inventaire M-1'!$A$2:$AZ$9320,MATCH(B566,'Inventaire M-1'!$A:$A,0)-1,MATCH("Cours EUR",'Inventaire M-1'!#REF!,0))))</f>
        <v/>
      </c>
      <c r="G566" s="175"/>
      <c r="H566" s="156" t="str">
        <f>IF(B566="-","",INDEX('Inventaire M'!$A$2:$AW$9305,MATCH(B566,'Inventaire M'!$A:$A,0)-1,MATCH("quantite",'Inventaire M'!#REF!,0)))</f>
        <v/>
      </c>
      <c r="I566" s="156" t="str">
        <f>IF(C566="-","",IF(ISERROR(INDEX('Inventaire M-1'!$A$2:$AZ$9320,MATCH(B566,'Inventaire M-1'!$A:$A,0)-1,MATCH("quantite",'Inventaire M-1'!#REF!,0))),"Buy",INDEX('Inventaire M-1'!$A$2:$AZ$9320,MATCH(B566,'Inventaire M-1'!$A:$A,0)-1,MATCH("quantite",'Inventaire M-1'!#REF!,0))))</f>
        <v/>
      </c>
      <c r="J566" s="175"/>
      <c r="K566" s="155" t="str">
        <f>IF(B566="-","",INDEX('Inventaire M'!$A$2:$AW$9305,MATCH(B566,'Inventaire M'!$A:$A,0)-1,MATCH("poids",'Inventaire M'!#REF!,0)))</f>
        <v/>
      </c>
      <c r="L566" s="155" t="str">
        <f>IF(B566="-","",IF(ISERROR(INDEX('Inventaire M-1'!$A$2:$AZ$9320,MATCH(B566,'Inventaire M-1'!$A:$A,0)-1,MATCH("poids",'Inventaire M-1'!#REF!,0))),"Buy",INDEX('Inventaire M-1'!$A$2:$AZ$9320,MATCH(B566,'Inventaire M-1'!$A:$A,0)-1,MATCH("poids",'Inventaire M-1'!#REF!,0))))</f>
        <v/>
      </c>
      <c r="M566" s="175"/>
      <c r="N566" s="157" t="str">
        <f t="shared" si="61"/>
        <v>0</v>
      </c>
      <c r="O566" s="98" t="str">
        <f t="shared" si="60"/>
        <v/>
      </c>
      <c r="P566" s="80" t="str">
        <f t="shared" si="62"/>
        <v>-</v>
      </c>
      <c r="Q566" s="75">
        <v>5.4200000000000002E-8</v>
      </c>
      <c r="R566" s="175" t="str">
        <f>IF(OR('Inventaire M-1'!D318="Dispo/Liquidité Investie",'Inventaire M-1'!D318="Option/Future",'Inventaire M-1'!D318="TCN",'Inventaire M-1'!D318=""),"-",'Inventaire M-1'!A318)</f>
        <v>-</v>
      </c>
      <c r="S566" s="175" t="str">
        <f>IF(OR('Inventaire M-1'!D318="Dispo/Liquidité Investie",'Inventaire M-1'!D318="Option/Future",'Inventaire M-1'!D318="TCN",'Inventaire M-1'!D318=""),"-",'Inventaire M-1'!B318)</f>
        <v>-</v>
      </c>
      <c r="T566" s="175"/>
      <c r="U566" s="175" t="str">
        <f>IF(R566="-","",INDEX('Inventaire M-1'!$A$2:$AG$9334,MATCH(R566,'Inventaire M-1'!$A:$A,0)-1,MATCH("Cours EUR",'Inventaire M-1'!#REF!,0)))</f>
        <v/>
      </c>
      <c r="V566" s="175" t="str">
        <f>IF(R566="-","",IF(ISERROR(INDEX('Inventaire M'!$A$2:$AD$9319,MATCH(R566,'Inventaire M'!$A:$A,0)-1,MATCH("Cours EUR",'Inventaire M'!#REF!,0))),"Sell",INDEX('Inventaire M'!$A$2:$AD$9319,MATCH(R566,'Inventaire M'!$A:$A,0)-1,MATCH("Cours EUR",'Inventaire M'!#REF!,0))))</f>
        <v/>
      </c>
      <c r="W566" s="175"/>
      <c r="X566" s="156" t="str">
        <f>IF(R566="-","",INDEX('Inventaire M-1'!$A$2:$AG$9334,MATCH(R566,'Inventaire M-1'!$A:$A,0)-1,MATCH("quantite",'Inventaire M-1'!#REF!,0)))</f>
        <v/>
      </c>
      <c r="Y566" s="156" t="str">
        <f>IF(S566="-","",IF(ISERROR(INDEX('Inventaire M'!$A$2:$AD$9319,MATCH(R566,'Inventaire M'!$A:$A,0)-1,MATCH("quantite",'Inventaire M'!#REF!,0))),"Sell",INDEX('Inventaire M'!$A$2:$AD$9319,MATCH(R566,'Inventaire M'!$A:$A,0)-1,MATCH("quantite",'Inventaire M'!#REF!,0))))</f>
        <v/>
      </c>
      <c r="Z566" s="175"/>
      <c r="AA566" s="155" t="str">
        <f>IF(R566="-","",INDEX('Inventaire M-1'!$A$2:$AG$9334,MATCH(R566,'Inventaire M-1'!$A:$A,0)-1,MATCH("poids",'Inventaire M-1'!#REF!,0)))</f>
        <v/>
      </c>
      <c r="AB566" s="155" t="str">
        <f>IF(R566="-","",IF(ISERROR(INDEX('Inventaire M'!$A$2:$AD$9319,MATCH(R566,'Inventaire M'!$A:$A,0)-1,MATCH("poids",'Inventaire M'!#REF!,0))),"Sell",INDEX('Inventaire M'!$A$2:$AD$9319,MATCH(R566,'Inventaire M'!$A:$A,0)-1,MATCH("poids",'Inventaire M'!#REF!,0))))</f>
        <v/>
      </c>
      <c r="AC566" s="175"/>
      <c r="AD566" s="157" t="str">
        <f t="shared" si="63"/>
        <v>0</v>
      </c>
      <c r="AE566" s="98" t="str">
        <f t="shared" si="64"/>
        <v/>
      </c>
      <c r="AF566" s="80" t="str">
        <f t="shared" si="65"/>
        <v>-</v>
      </c>
    </row>
    <row r="567" spans="2:32" outlineLevel="1">
      <c r="B567" s="175" t="str">
        <f>IF(OR('Inventaire M'!D340="Dispo/Liquidité Investie",'Inventaire M'!D340="Option/Future",'Inventaire M'!D340="TCN",'Inventaire M'!D340=""),"-",'Inventaire M'!A340)</f>
        <v>-</v>
      </c>
      <c r="C567" s="175" t="str">
        <f>IF(OR('Inventaire M'!D340="Dispo/Liquidité Investie",'Inventaire M'!D340="Option/Future",'Inventaire M'!D340="TCN",'Inventaire M'!D340=""),"-",'Inventaire M'!B340)</f>
        <v>-</v>
      </c>
      <c r="D567" s="175"/>
      <c r="E567" s="175" t="str">
        <f>IF(B567="-","",INDEX('Inventaire M'!$A$2:$AW$9305,MATCH(B567,'Inventaire M'!$A:$A,0)-1,MATCH("Cours EUR",'Inventaire M'!#REF!,0)))</f>
        <v/>
      </c>
      <c r="F567" s="175" t="str">
        <f>IF(B567="-","",IF(ISERROR(INDEX('Inventaire M-1'!$A$2:$AZ$9320,MATCH(B567,'Inventaire M-1'!$A:$A,0)-1,MATCH("Cours EUR",'Inventaire M-1'!#REF!,0))),"Buy",INDEX('Inventaire M-1'!$A$2:$AZ$9320,MATCH(B567,'Inventaire M-1'!$A:$A,0)-1,MATCH("Cours EUR",'Inventaire M-1'!#REF!,0))))</f>
        <v/>
      </c>
      <c r="G567" s="175"/>
      <c r="H567" s="156" t="str">
        <f>IF(B567="-","",INDEX('Inventaire M'!$A$2:$AW$9305,MATCH(B567,'Inventaire M'!$A:$A,0)-1,MATCH("quantite",'Inventaire M'!#REF!,0)))</f>
        <v/>
      </c>
      <c r="I567" s="156" t="str">
        <f>IF(C567="-","",IF(ISERROR(INDEX('Inventaire M-1'!$A$2:$AZ$9320,MATCH(B567,'Inventaire M-1'!$A:$A,0)-1,MATCH("quantite",'Inventaire M-1'!#REF!,0))),"Buy",INDEX('Inventaire M-1'!$A$2:$AZ$9320,MATCH(B567,'Inventaire M-1'!$A:$A,0)-1,MATCH("quantite",'Inventaire M-1'!#REF!,0))))</f>
        <v/>
      </c>
      <c r="J567" s="175"/>
      <c r="K567" s="155" t="str">
        <f>IF(B567="-","",INDEX('Inventaire M'!$A$2:$AW$9305,MATCH(B567,'Inventaire M'!$A:$A,0)-1,MATCH("poids",'Inventaire M'!#REF!,0)))</f>
        <v/>
      </c>
      <c r="L567" s="155" t="str">
        <f>IF(B567="-","",IF(ISERROR(INDEX('Inventaire M-1'!$A$2:$AZ$9320,MATCH(B567,'Inventaire M-1'!$A:$A,0)-1,MATCH("poids",'Inventaire M-1'!#REF!,0))),"Buy",INDEX('Inventaire M-1'!$A$2:$AZ$9320,MATCH(B567,'Inventaire M-1'!$A:$A,0)-1,MATCH("poids",'Inventaire M-1'!#REF!,0))))</f>
        <v/>
      </c>
      <c r="M567" s="175"/>
      <c r="N567" s="157" t="str">
        <f t="shared" si="61"/>
        <v>0</v>
      </c>
      <c r="O567" s="98" t="str">
        <f t="shared" si="60"/>
        <v/>
      </c>
      <c r="P567" s="80" t="str">
        <f t="shared" si="62"/>
        <v>-</v>
      </c>
      <c r="Q567" s="75">
        <v>5.4300000000000003E-8</v>
      </c>
      <c r="R567" s="175" t="str">
        <f>IF(OR('Inventaire M-1'!D319="Dispo/Liquidité Investie",'Inventaire M-1'!D319="Option/Future",'Inventaire M-1'!D319="TCN",'Inventaire M-1'!D319=""),"-",'Inventaire M-1'!A319)</f>
        <v>-</v>
      </c>
      <c r="S567" s="175" t="str">
        <f>IF(OR('Inventaire M-1'!D319="Dispo/Liquidité Investie",'Inventaire M-1'!D319="Option/Future",'Inventaire M-1'!D319="TCN",'Inventaire M-1'!D319=""),"-",'Inventaire M-1'!B319)</f>
        <v>-</v>
      </c>
      <c r="T567" s="175"/>
      <c r="U567" s="175" t="str">
        <f>IF(R567="-","",INDEX('Inventaire M-1'!$A$2:$AG$9334,MATCH(R567,'Inventaire M-1'!$A:$A,0)-1,MATCH("Cours EUR",'Inventaire M-1'!#REF!,0)))</f>
        <v/>
      </c>
      <c r="V567" s="175" t="str">
        <f>IF(R567="-","",IF(ISERROR(INDEX('Inventaire M'!$A$2:$AD$9319,MATCH(R567,'Inventaire M'!$A:$A,0)-1,MATCH("Cours EUR",'Inventaire M'!#REF!,0))),"Sell",INDEX('Inventaire M'!$A$2:$AD$9319,MATCH(R567,'Inventaire M'!$A:$A,0)-1,MATCH("Cours EUR",'Inventaire M'!#REF!,0))))</f>
        <v/>
      </c>
      <c r="W567" s="175"/>
      <c r="X567" s="156" t="str">
        <f>IF(R567="-","",INDEX('Inventaire M-1'!$A$2:$AG$9334,MATCH(R567,'Inventaire M-1'!$A:$A,0)-1,MATCH("quantite",'Inventaire M-1'!#REF!,0)))</f>
        <v/>
      </c>
      <c r="Y567" s="156" t="str">
        <f>IF(S567="-","",IF(ISERROR(INDEX('Inventaire M'!$A$2:$AD$9319,MATCH(R567,'Inventaire M'!$A:$A,0)-1,MATCH("quantite",'Inventaire M'!#REF!,0))),"Sell",INDEX('Inventaire M'!$A$2:$AD$9319,MATCH(R567,'Inventaire M'!$A:$A,0)-1,MATCH("quantite",'Inventaire M'!#REF!,0))))</f>
        <v/>
      </c>
      <c r="Z567" s="175"/>
      <c r="AA567" s="155" t="str">
        <f>IF(R567="-","",INDEX('Inventaire M-1'!$A$2:$AG$9334,MATCH(R567,'Inventaire M-1'!$A:$A,0)-1,MATCH("poids",'Inventaire M-1'!#REF!,0)))</f>
        <v/>
      </c>
      <c r="AB567" s="155" t="str">
        <f>IF(R567="-","",IF(ISERROR(INDEX('Inventaire M'!$A$2:$AD$9319,MATCH(R567,'Inventaire M'!$A:$A,0)-1,MATCH("poids",'Inventaire M'!#REF!,0))),"Sell",INDEX('Inventaire M'!$A$2:$AD$9319,MATCH(R567,'Inventaire M'!$A:$A,0)-1,MATCH("poids",'Inventaire M'!#REF!,0))))</f>
        <v/>
      </c>
      <c r="AC567" s="175"/>
      <c r="AD567" s="157" t="str">
        <f t="shared" si="63"/>
        <v>0</v>
      </c>
      <c r="AE567" s="98" t="str">
        <f t="shared" si="64"/>
        <v/>
      </c>
      <c r="AF567" s="80" t="str">
        <f t="shared" si="65"/>
        <v>-</v>
      </c>
    </row>
    <row r="568" spans="2:32" outlineLevel="1">
      <c r="B568" s="175" t="str">
        <f>IF(OR('Inventaire M'!D341="Dispo/Liquidité Investie",'Inventaire M'!D341="Option/Future",'Inventaire M'!D341="TCN",'Inventaire M'!D341=""),"-",'Inventaire M'!A341)</f>
        <v>-</v>
      </c>
      <c r="C568" s="175" t="str">
        <f>IF(OR('Inventaire M'!D341="Dispo/Liquidité Investie",'Inventaire M'!D341="Option/Future",'Inventaire M'!D341="TCN",'Inventaire M'!D341=""),"-",'Inventaire M'!B341)</f>
        <v>-</v>
      </c>
      <c r="D568" s="175"/>
      <c r="E568" s="175" t="str">
        <f>IF(B568="-","",INDEX('Inventaire M'!$A$2:$AW$9305,MATCH(B568,'Inventaire M'!$A:$A,0)-1,MATCH("Cours EUR",'Inventaire M'!#REF!,0)))</f>
        <v/>
      </c>
      <c r="F568" s="175" t="str">
        <f>IF(B568="-","",IF(ISERROR(INDEX('Inventaire M-1'!$A$2:$AZ$9320,MATCH(B568,'Inventaire M-1'!$A:$A,0)-1,MATCH("Cours EUR",'Inventaire M-1'!#REF!,0))),"Buy",INDEX('Inventaire M-1'!$A$2:$AZ$9320,MATCH(B568,'Inventaire M-1'!$A:$A,0)-1,MATCH("Cours EUR",'Inventaire M-1'!#REF!,0))))</f>
        <v/>
      </c>
      <c r="G568" s="175"/>
      <c r="H568" s="156" t="str">
        <f>IF(B568="-","",INDEX('Inventaire M'!$A$2:$AW$9305,MATCH(B568,'Inventaire M'!$A:$A,0)-1,MATCH("quantite",'Inventaire M'!#REF!,0)))</f>
        <v/>
      </c>
      <c r="I568" s="156" t="str">
        <f>IF(C568="-","",IF(ISERROR(INDEX('Inventaire M-1'!$A$2:$AZ$9320,MATCH(B568,'Inventaire M-1'!$A:$A,0)-1,MATCH("quantite",'Inventaire M-1'!#REF!,0))),"Buy",INDEX('Inventaire M-1'!$A$2:$AZ$9320,MATCH(B568,'Inventaire M-1'!$A:$A,0)-1,MATCH("quantite",'Inventaire M-1'!#REF!,0))))</f>
        <v/>
      </c>
      <c r="J568" s="175"/>
      <c r="K568" s="155" t="str">
        <f>IF(B568="-","",INDEX('Inventaire M'!$A$2:$AW$9305,MATCH(B568,'Inventaire M'!$A:$A,0)-1,MATCH("poids",'Inventaire M'!#REF!,0)))</f>
        <v/>
      </c>
      <c r="L568" s="155" t="str">
        <f>IF(B568="-","",IF(ISERROR(INDEX('Inventaire M-1'!$A$2:$AZ$9320,MATCH(B568,'Inventaire M-1'!$A:$A,0)-1,MATCH("poids",'Inventaire M-1'!#REF!,0))),"Buy",INDEX('Inventaire M-1'!$A$2:$AZ$9320,MATCH(B568,'Inventaire M-1'!$A:$A,0)-1,MATCH("poids",'Inventaire M-1'!#REF!,0))))</f>
        <v/>
      </c>
      <c r="M568" s="175"/>
      <c r="N568" s="157" t="str">
        <f t="shared" si="61"/>
        <v>0</v>
      </c>
      <c r="O568" s="98" t="str">
        <f t="shared" si="60"/>
        <v/>
      </c>
      <c r="P568" s="80" t="str">
        <f t="shared" si="62"/>
        <v>-</v>
      </c>
      <c r="Q568" s="75">
        <v>5.4399999999999997E-8</v>
      </c>
      <c r="R568" s="175" t="str">
        <f>IF(OR('Inventaire M-1'!D320="Dispo/Liquidité Investie",'Inventaire M-1'!D320="Option/Future",'Inventaire M-1'!D320="TCN",'Inventaire M-1'!D320=""),"-",'Inventaire M-1'!A320)</f>
        <v>-</v>
      </c>
      <c r="S568" s="175" t="str">
        <f>IF(OR('Inventaire M-1'!D320="Dispo/Liquidité Investie",'Inventaire M-1'!D320="Option/Future",'Inventaire M-1'!D320="TCN",'Inventaire M-1'!D320=""),"-",'Inventaire M-1'!B320)</f>
        <v>-</v>
      </c>
      <c r="T568" s="175"/>
      <c r="U568" s="175" t="str">
        <f>IF(R568="-","",INDEX('Inventaire M-1'!$A$2:$AG$9334,MATCH(R568,'Inventaire M-1'!$A:$A,0)-1,MATCH("Cours EUR",'Inventaire M-1'!#REF!,0)))</f>
        <v/>
      </c>
      <c r="V568" s="175" t="str">
        <f>IF(R568="-","",IF(ISERROR(INDEX('Inventaire M'!$A$2:$AD$9319,MATCH(R568,'Inventaire M'!$A:$A,0)-1,MATCH("Cours EUR",'Inventaire M'!#REF!,0))),"Sell",INDEX('Inventaire M'!$A$2:$AD$9319,MATCH(R568,'Inventaire M'!$A:$A,0)-1,MATCH("Cours EUR",'Inventaire M'!#REF!,0))))</f>
        <v/>
      </c>
      <c r="W568" s="175"/>
      <c r="X568" s="156" t="str">
        <f>IF(R568="-","",INDEX('Inventaire M-1'!$A$2:$AG$9334,MATCH(R568,'Inventaire M-1'!$A:$A,0)-1,MATCH("quantite",'Inventaire M-1'!#REF!,0)))</f>
        <v/>
      </c>
      <c r="Y568" s="156" t="str">
        <f>IF(S568="-","",IF(ISERROR(INDEX('Inventaire M'!$A$2:$AD$9319,MATCH(R568,'Inventaire M'!$A:$A,0)-1,MATCH("quantite",'Inventaire M'!#REF!,0))),"Sell",INDEX('Inventaire M'!$A$2:$AD$9319,MATCH(R568,'Inventaire M'!$A:$A,0)-1,MATCH("quantite",'Inventaire M'!#REF!,0))))</f>
        <v/>
      </c>
      <c r="Z568" s="175"/>
      <c r="AA568" s="155" t="str">
        <f>IF(R568="-","",INDEX('Inventaire M-1'!$A$2:$AG$9334,MATCH(R568,'Inventaire M-1'!$A:$A,0)-1,MATCH("poids",'Inventaire M-1'!#REF!,0)))</f>
        <v/>
      </c>
      <c r="AB568" s="155" t="str">
        <f>IF(R568="-","",IF(ISERROR(INDEX('Inventaire M'!$A$2:$AD$9319,MATCH(R568,'Inventaire M'!$A:$A,0)-1,MATCH("poids",'Inventaire M'!#REF!,0))),"Sell",INDEX('Inventaire M'!$A$2:$AD$9319,MATCH(R568,'Inventaire M'!$A:$A,0)-1,MATCH("poids",'Inventaire M'!#REF!,0))))</f>
        <v/>
      </c>
      <c r="AC568" s="175"/>
      <c r="AD568" s="157" t="str">
        <f t="shared" si="63"/>
        <v>0</v>
      </c>
      <c r="AE568" s="98" t="str">
        <f t="shared" si="64"/>
        <v/>
      </c>
      <c r="AF568" s="80" t="str">
        <f t="shared" si="65"/>
        <v>-</v>
      </c>
    </row>
    <row r="569" spans="2:32" outlineLevel="1">
      <c r="B569" s="175" t="str">
        <f>IF(OR('Inventaire M'!D342="Dispo/Liquidité Investie",'Inventaire M'!D342="Option/Future",'Inventaire M'!D342="TCN",'Inventaire M'!D342=""),"-",'Inventaire M'!A342)</f>
        <v>-</v>
      </c>
      <c r="C569" s="175" t="str">
        <f>IF(OR('Inventaire M'!D342="Dispo/Liquidité Investie",'Inventaire M'!D342="Option/Future",'Inventaire M'!D342="TCN",'Inventaire M'!D342=""),"-",'Inventaire M'!B342)</f>
        <v>-</v>
      </c>
      <c r="D569" s="175"/>
      <c r="E569" s="175" t="str">
        <f>IF(B569="-","",INDEX('Inventaire M'!$A$2:$AW$9305,MATCH(B569,'Inventaire M'!$A:$A,0)-1,MATCH("Cours EUR",'Inventaire M'!#REF!,0)))</f>
        <v/>
      </c>
      <c r="F569" s="175" t="str">
        <f>IF(B569="-","",IF(ISERROR(INDEX('Inventaire M-1'!$A$2:$AZ$9320,MATCH(B569,'Inventaire M-1'!$A:$A,0)-1,MATCH("Cours EUR",'Inventaire M-1'!#REF!,0))),"Buy",INDEX('Inventaire M-1'!$A$2:$AZ$9320,MATCH(B569,'Inventaire M-1'!$A:$A,0)-1,MATCH("Cours EUR",'Inventaire M-1'!#REF!,0))))</f>
        <v/>
      </c>
      <c r="G569" s="175"/>
      <c r="H569" s="156" t="str">
        <f>IF(B569="-","",INDEX('Inventaire M'!$A$2:$AW$9305,MATCH(B569,'Inventaire M'!$A:$A,0)-1,MATCH("quantite",'Inventaire M'!#REF!,0)))</f>
        <v/>
      </c>
      <c r="I569" s="156" t="str">
        <f>IF(C569="-","",IF(ISERROR(INDEX('Inventaire M-1'!$A$2:$AZ$9320,MATCH(B569,'Inventaire M-1'!$A:$A,0)-1,MATCH("quantite",'Inventaire M-1'!#REF!,0))),"Buy",INDEX('Inventaire M-1'!$A$2:$AZ$9320,MATCH(B569,'Inventaire M-1'!$A:$A,0)-1,MATCH("quantite",'Inventaire M-1'!#REF!,0))))</f>
        <v/>
      </c>
      <c r="J569" s="175"/>
      <c r="K569" s="155" t="str">
        <f>IF(B569="-","",INDEX('Inventaire M'!$A$2:$AW$9305,MATCH(B569,'Inventaire M'!$A:$A,0)-1,MATCH("poids",'Inventaire M'!#REF!,0)))</f>
        <v/>
      </c>
      <c r="L569" s="155" t="str">
        <f>IF(B569="-","",IF(ISERROR(INDEX('Inventaire M-1'!$A$2:$AZ$9320,MATCH(B569,'Inventaire M-1'!$A:$A,0)-1,MATCH("poids",'Inventaire M-1'!#REF!,0))),"Buy",INDEX('Inventaire M-1'!$A$2:$AZ$9320,MATCH(B569,'Inventaire M-1'!$A:$A,0)-1,MATCH("poids",'Inventaire M-1'!#REF!,0))))</f>
        <v/>
      </c>
      <c r="M569" s="175"/>
      <c r="N569" s="157" t="str">
        <f t="shared" si="61"/>
        <v>0</v>
      </c>
      <c r="O569" s="98" t="str">
        <f t="shared" si="60"/>
        <v/>
      </c>
      <c r="P569" s="80" t="str">
        <f t="shared" si="62"/>
        <v>-</v>
      </c>
      <c r="Q569" s="75">
        <v>5.4499999999999998E-8</v>
      </c>
      <c r="R569" s="175" t="str">
        <f>IF(OR('Inventaire M-1'!D321="Dispo/Liquidité Investie",'Inventaire M-1'!D321="Option/Future",'Inventaire M-1'!D321="TCN",'Inventaire M-1'!D321=""),"-",'Inventaire M-1'!A321)</f>
        <v>-</v>
      </c>
      <c r="S569" s="175" t="str">
        <f>IF(OR('Inventaire M-1'!D321="Dispo/Liquidité Investie",'Inventaire M-1'!D321="Option/Future",'Inventaire M-1'!D321="TCN",'Inventaire M-1'!D321=""),"-",'Inventaire M-1'!B321)</f>
        <v>-</v>
      </c>
      <c r="T569" s="175"/>
      <c r="U569" s="175" t="str">
        <f>IF(R569="-","",INDEX('Inventaire M-1'!$A$2:$AG$9334,MATCH(R569,'Inventaire M-1'!$A:$A,0)-1,MATCH("Cours EUR",'Inventaire M-1'!#REF!,0)))</f>
        <v/>
      </c>
      <c r="V569" s="175" t="str">
        <f>IF(R569="-","",IF(ISERROR(INDEX('Inventaire M'!$A$2:$AD$9319,MATCH(R569,'Inventaire M'!$A:$A,0)-1,MATCH("Cours EUR",'Inventaire M'!#REF!,0))),"Sell",INDEX('Inventaire M'!$A$2:$AD$9319,MATCH(R569,'Inventaire M'!$A:$A,0)-1,MATCH("Cours EUR",'Inventaire M'!#REF!,0))))</f>
        <v/>
      </c>
      <c r="W569" s="175"/>
      <c r="X569" s="156" t="str">
        <f>IF(R569="-","",INDEX('Inventaire M-1'!$A$2:$AG$9334,MATCH(R569,'Inventaire M-1'!$A:$A,0)-1,MATCH("quantite",'Inventaire M-1'!#REF!,0)))</f>
        <v/>
      </c>
      <c r="Y569" s="156" t="str">
        <f>IF(S569="-","",IF(ISERROR(INDEX('Inventaire M'!$A$2:$AD$9319,MATCH(R569,'Inventaire M'!$A:$A,0)-1,MATCH("quantite",'Inventaire M'!#REF!,0))),"Sell",INDEX('Inventaire M'!$A$2:$AD$9319,MATCH(R569,'Inventaire M'!$A:$A,0)-1,MATCH("quantite",'Inventaire M'!#REF!,0))))</f>
        <v/>
      </c>
      <c r="Z569" s="175"/>
      <c r="AA569" s="155" t="str">
        <f>IF(R569="-","",INDEX('Inventaire M-1'!$A$2:$AG$9334,MATCH(R569,'Inventaire M-1'!$A:$A,0)-1,MATCH("poids",'Inventaire M-1'!#REF!,0)))</f>
        <v/>
      </c>
      <c r="AB569" s="155" t="str">
        <f>IF(R569="-","",IF(ISERROR(INDEX('Inventaire M'!$A$2:$AD$9319,MATCH(R569,'Inventaire M'!$A:$A,0)-1,MATCH("poids",'Inventaire M'!#REF!,0))),"Sell",INDEX('Inventaire M'!$A$2:$AD$9319,MATCH(R569,'Inventaire M'!$A:$A,0)-1,MATCH("poids",'Inventaire M'!#REF!,0))))</f>
        <v/>
      </c>
      <c r="AC569" s="175"/>
      <c r="AD569" s="157" t="str">
        <f t="shared" si="63"/>
        <v>0</v>
      </c>
      <c r="AE569" s="98" t="str">
        <f t="shared" si="64"/>
        <v/>
      </c>
      <c r="AF569" s="80" t="str">
        <f t="shared" si="65"/>
        <v>-</v>
      </c>
    </row>
    <row r="570" spans="2:32" outlineLevel="1">
      <c r="B570" s="175" t="str">
        <f>IF(OR('Inventaire M'!D343="Dispo/Liquidité Investie",'Inventaire M'!D343="Option/Future",'Inventaire M'!D343="TCN",'Inventaire M'!D343=""),"-",'Inventaire M'!A343)</f>
        <v>-</v>
      </c>
      <c r="C570" s="175" t="str">
        <f>IF(OR('Inventaire M'!D343="Dispo/Liquidité Investie",'Inventaire M'!D343="Option/Future",'Inventaire M'!D343="TCN",'Inventaire M'!D343=""),"-",'Inventaire M'!B343)</f>
        <v>-</v>
      </c>
      <c r="D570" s="175"/>
      <c r="E570" s="175" t="str">
        <f>IF(B570="-","",INDEX('Inventaire M'!$A$2:$AW$9305,MATCH(B570,'Inventaire M'!$A:$A,0)-1,MATCH("Cours EUR",'Inventaire M'!#REF!,0)))</f>
        <v/>
      </c>
      <c r="F570" s="175" t="str">
        <f>IF(B570="-","",IF(ISERROR(INDEX('Inventaire M-1'!$A$2:$AZ$9320,MATCH(B570,'Inventaire M-1'!$A:$A,0)-1,MATCH("Cours EUR",'Inventaire M-1'!#REF!,0))),"Buy",INDEX('Inventaire M-1'!$A$2:$AZ$9320,MATCH(B570,'Inventaire M-1'!$A:$A,0)-1,MATCH("Cours EUR",'Inventaire M-1'!#REF!,0))))</f>
        <v/>
      </c>
      <c r="G570" s="175"/>
      <c r="H570" s="156" t="str">
        <f>IF(B570="-","",INDEX('Inventaire M'!$A$2:$AW$9305,MATCH(B570,'Inventaire M'!$A:$A,0)-1,MATCH("quantite",'Inventaire M'!#REF!,0)))</f>
        <v/>
      </c>
      <c r="I570" s="156" t="str">
        <f>IF(C570="-","",IF(ISERROR(INDEX('Inventaire M-1'!$A$2:$AZ$9320,MATCH(B570,'Inventaire M-1'!$A:$A,0)-1,MATCH("quantite",'Inventaire M-1'!#REF!,0))),"Buy",INDEX('Inventaire M-1'!$A$2:$AZ$9320,MATCH(B570,'Inventaire M-1'!$A:$A,0)-1,MATCH("quantite",'Inventaire M-1'!#REF!,0))))</f>
        <v/>
      </c>
      <c r="J570" s="175"/>
      <c r="K570" s="155" t="str">
        <f>IF(B570="-","",INDEX('Inventaire M'!$A$2:$AW$9305,MATCH(B570,'Inventaire M'!$A:$A,0)-1,MATCH("poids",'Inventaire M'!#REF!,0)))</f>
        <v/>
      </c>
      <c r="L570" s="155" t="str">
        <f>IF(B570="-","",IF(ISERROR(INDEX('Inventaire M-1'!$A$2:$AZ$9320,MATCH(B570,'Inventaire M-1'!$A:$A,0)-1,MATCH("poids",'Inventaire M-1'!#REF!,0))),"Buy",INDEX('Inventaire M-1'!$A$2:$AZ$9320,MATCH(B570,'Inventaire M-1'!$A:$A,0)-1,MATCH("poids",'Inventaire M-1'!#REF!,0))))</f>
        <v/>
      </c>
      <c r="M570" s="175"/>
      <c r="N570" s="157" t="str">
        <f t="shared" si="61"/>
        <v>0</v>
      </c>
      <c r="O570" s="98" t="str">
        <f t="shared" si="60"/>
        <v/>
      </c>
      <c r="P570" s="80" t="str">
        <f t="shared" si="62"/>
        <v>-</v>
      </c>
      <c r="Q570" s="75">
        <v>5.4599999999999999E-8</v>
      </c>
      <c r="R570" s="175" t="str">
        <f>IF(OR('Inventaire M-1'!D322="Dispo/Liquidité Investie",'Inventaire M-1'!D322="Option/Future",'Inventaire M-1'!D322="TCN",'Inventaire M-1'!D322=""),"-",'Inventaire M-1'!A322)</f>
        <v>-</v>
      </c>
      <c r="S570" s="175" t="str">
        <f>IF(OR('Inventaire M-1'!D322="Dispo/Liquidité Investie",'Inventaire M-1'!D322="Option/Future",'Inventaire M-1'!D322="TCN",'Inventaire M-1'!D322=""),"-",'Inventaire M-1'!B322)</f>
        <v>-</v>
      </c>
      <c r="T570" s="175"/>
      <c r="U570" s="175" t="str">
        <f>IF(R570="-","",INDEX('Inventaire M-1'!$A$2:$AG$9334,MATCH(R570,'Inventaire M-1'!$A:$A,0)-1,MATCH("Cours EUR",'Inventaire M-1'!#REF!,0)))</f>
        <v/>
      </c>
      <c r="V570" s="175" t="str">
        <f>IF(R570="-","",IF(ISERROR(INDEX('Inventaire M'!$A$2:$AD$9319,MATCH(R570,'Inventaire M'!$A:$A,0)-1,MATCH("Cours EUR",'Inventaire M'!#REF!,0))),"Sell",INDEX('Inventaire M'!$A$2:$AD$9319,MATCH(R570,'Inventaire M'!$A:$A,0)-1,MATCH("Cours EUR",'Inventaire M'!#REF!,0))))</f>
        <v/>
      </c>
      <c r="W570" s="175"/>
      <c r="X570" s="156" t="str">
        <f>IF(R570="-","",INDEX('Inventaire M-1'!$A$2:$AG$9334,MATCH(R570,'Inventaire M-1'!$A:$A,0)-1,MATCH("quantite",'Inventaire M-1'!#REF!,0)))</f>
        <v/>
      </c>
      <c r="Y570" s="156" t="str">
        <f>IF(S570="-","",IF(ISERROR(INDEX('Inventaire M'!$A$2:$AD$9319,MATCH(R570,'Inventaire M'!$A:$A,0)-1,MATCH("quantite",'Inventaire M'!#REF!,0))),"Sell",INDEX('Inventaire M'!$A$2:$AD$9319,MATCH(R570,'Inventaire M'!$A:$A,0)-1,MATCH("quantite",'Inventaire M'!#REF!,0))))</f>
        <v/>
      </c>
      <c r="Z570" s="175"/>
      <c r="AA570" s="155" t="str">
        <f>IF(R570="-","",INDEX('Inventaire M-1'!$A$2:$AG$9334,MATCH(R570,'Inventaire M-1'!$A:$A,0)-1,MATCH("poids",'Inventaire M-1'!#REF!,0)))</f>
        <v/>
      </c>
      <c r="AB570" s="155" t="str">
        <f>IF(R570="-","",IF(ISERROR(INDEX('Inventaire M'!$A$2:$AD$9319,MATCH(R570,'Inventaire M'!$A:$A,0)-1,MATCH("poids",'Inventaire M'!#REF!,0))),"Sell",INDEX('Inventaire M'!$A$2:$AD$9319,MATCH(R570,'Inventaire M'!$A:$A,0)-1,MATCH("poids",'Inventaire M'!#REF!,0))))</f>
        <v/>
      </c>
      <c r="AC570" s="175"/>
      <c r="AD570" s="157" t="str">
        <f t="shared" si="63"/>
        <v>0</v>
      </c>
      <c r="AE570" s="98" t="str">
        <f t="shared" si="64"/>
        <v/>
      </c>
      <c r="AF570" s="80" t="str">
        <f t="shared" si="65"/>
        <v>-</v>
      </c>
    </row>
    <row r="571" spans="2:32" outlineLevel="1">
      <c r="B571" s="175" t="str">
        <f>IF(OR('Inventaire M'!D344="Dispo/Liquidité Investie",'Inventaire M'!D344="Option/Future",'Inventaire M'!D344="TCN",'Inventaire M'!D344=""),"-",'Inventaire M'!A344)</f>
        <v>-</v>
      </c>
      <c r="C571" s="175" t="str">
        <f>IF(OR('Inventaire M'!D344="Dispo/Liquidité Investie",'Inventaire M'!D344="Option/Future",'Inventaire M'!D344="TCN",'Inventaire M'!D344=""),"-",'Inventaire M'!B344)</f>
        <v>-</v>
      </c>
      <c r="D571" s="175"/>
      <c r="E571" s="175" t="str">
        <f>IF(B571="-","",INDEX('Inventaire M'!$A$2:$AW$9305,MATCH(B571,'Inventaire M'!$A:$A,0)-1,MATCH("Cours EUR",'Inventaire M'!#REF!,0)))</f>
        <v/>
      </c>
      <c r="F571" s="175" t="str">
        <f>IF(B571="-","",IF(ISERROR(INDEX('Inventaire M-1'!$A$2:$AZ$9320,MATCH(B571,'Inventaire M-1'!$A:$A,0)-1,MATCH("Cours EUR",'Inventaire M-1'!#REF!,0))),"Buy",INDEX('Inventaire M-1'!$A$2:$AZ$9320,MATCH(B571,'Inventaire M-1'!$A:$A,0)-1,MATCH("Cours EUR",'Inventaire M-1'!#REF!,0))))</f>
        <v/>
      </c>
      <c r="G571" s="175"/>
      <c r="H571" s="156" t="str">
        <f>IF(B571="-","",INDEX('Inventaire M'!$A$2:$AW$9305,MATCH(B571,'Inventaire M'!$A:$A,0)-1,MATCH("quantite",'Inventaire M'!#REF!,0)))</f>
        <v/>
      </c>
      <c r="I571" s="156" t="str">
        <f>IF(C571="-","",IF(ISERROR(INDEX('Inventaire M-1'!$A$2:$AZ$9320,MATCH(B571,'Inventaire M-1'!$A:$A,0)-1,MATCH("quantite",'Inventaire M-1'!#REF!,0))),"Buy",INDEX('Inventaire M-1'!$A$2:$AZ$9320,MATCH(B571,'Inventaire M-1'!$A:$A,0)-1,MATCH("quantite",'Inventaire M-1'!#REF!,0))))</f>
        <v/>
      </c>
      <c r="J571" s="175"/>
      <c r="K571" s="155" t="str">
        <f>IF(B571="-","",INDEX('Inventaire M'!$A$2:$AW$9305,MATCH(B571,'Inventaire M'!$A:$A,0)-1,MATCH("poids",'Inventaire M'!#REF!,0)))</f>
        <v/>
      </c>
      <c r="L571" s="155" t="str">
        <f>IF(B571="-","",IF(ISERROR(INDEX('Inventaire M-1'!$A$2:$AZ$9320,MATCH(B571,'Inventaire M-1'!$A:$A,0)-1,MATCH("poids",'Inventaire M-1'!#REF!,0))),"Buy",INDEX('Inventaire M-1'!$A$2:$AZ$9320,MATCH(B571,'Inventaire M-1'!$A:$A,0)-1,MATCH("poids",'Inventaire M-1'!#REF!,0))))</f>
        <v/>
      </c>
      <c r="M571" s="175"/>
      <c r="N571" s="157" t="str">
        <f t="shared" si="61"/>
        <v>0</v>
      </c>
      <c r="O571" s="98" t="str">
        <f t="shared" si="60"/>
        <v/>
      </c>
      <c r="P571" s="80" t="str">
        <f t="shared" si="62"/>
        <v>-</v>
      </c>
      <c r="Q571" s="75">
        <v>5.47E-8</v>
      </c>
      <c r="R571" s="175" t="str">
        <f>IF(OR('Inventaire M-1'!D323="Dispo/Liquidité Investie",'Inventaire M-1'!D323="Option/Future",'Inventaire M-1'!D323="TCN",'Inventaire M-1'!D323=""),"-",'Inventaire M-1'!A323)</f>
        <v>-</v>
      </c>
      <c r="S571" s="175" t="str">
        <f>IF(OR('Inventaire M-1'!D323="Dispo/Liquidité Investie",'Inventaire M-1'!D323="Option/Future",'Inventaire M-1'!D323="TCN",'Inventaire M-1'!D323=""),"-",'Inventaire M-1'!B323)</f>
        <v>-</v>
      </c>
      <c r="T571" s="175"/>
      <c r="U571" s="175" t="str">
        <f>IF(R571="-","",INDEX('Inventaire M-1'!$A$2:$AG$9334,MATCH(R571,'Inventaire M-1'!$A:$A,0)-1,MATCH("Cours EUR",'Inventaire M-1'!#REF!,0)))</f>
        <v/>
      </c>
      <c r="V571" s="175" t="str">
        <f>IF(R571="-","",IF(ISERROR(INDEX('Inventaire M'!$A$2:$AD$9319,MATCH(R571,'Inventaire M'!$A:$A,0)-1,MATCH("Cours EUR",'Inventaire M'!#REF!,0))),"Sell",INDEX('Inventaire M'!$A$2:$AD$9319,MATCH(R571,'Inventaire M'!$A:$A,0)-1,MATCH("Cours EUR",'Inventaire M'!#REF!,0))))</f>
        <v/>
      </c>
      <c r="W571" s="175"/>
      <c r="X571" s="156" t="str">
        <f>IF(R571="-","",INDEX('Inventaire M-1'!$A$2:$AG$9334,MATCH(R571,'Inventaire M-1'!$A:$A,0)-1,MATCH("quantite",'Inventaire M-1'!#REF!,0)))</f>
        <v/>
      </c>
      <c r="Y571" s="156" t="str">
        <f>IF(S571="-","",IF(ISERROR(INDEX('Inventaire M'!$A$2:$AD$9319,MATCH(R571,'Inventaire M'!$A:$A,0)-1,MATCH("quantite",'Inventaire M'!#REF!,0))),"Sell",INDEX('Inventaire M'!$A$2:$AD$9319,MATCH(R571,'Inventaire M'!$A:$A,0)-1,MATCH("quantite",'Inventaire M'!#REF!,0))))</f>
        <v/>
      </c>
      <c r="Z571" s="175"/>
      <c r="AA571" s="155" t="str">
        <f>IF(R571="-","",INDEX('Inventaire M-1'!$A$2:$AG$9334,MATCH(R571,'Inventaire M-1'!$A:$A,0)-1,MATCH("poids",'Inventaire M-1'!#REF!,0)))</f>
        <v/>
      </c>
      <c r="AB571" s="155" t="str">
        <f>IF(R571="-","",IF(ISERROR(INDEX('Inventaire M'!$A$2:$AD$9319,MATCH(R571,'Inventaire M'!$A:$A,0)-1,MATCH("poids",'Inventaire M'!#REF!,0))),"Sell",INDEX('Inventaire M'!$A$2:$AD$9319,MATCH(R571,'Inventaire M'!$A:$A,0)-1,MATCH("poids",'Inventaire M'!#REF!,0))))</f>
        <v/>
      </c>
      <c r="AC571" s="175"/>
      <c r="AD571" s="157" t="str">
        <f t="shared" si="63"/>
        <v>0</v>
      </c>
      <c r="AE571" s="98" t="str">
        <f t="shared" si="64"/>
        <v/>
      </c>
      <c r="AF571" s="80" t="str">
        <f t="shared" si="65"/>
        <v>-</v>
      </c>
    </row>
    <row r="572" spans="2:32" outlineLevel="1">
      <c r="B572" s="175" t="str">
        <f>IF(OR('Inventaire M'!D345="Dispo/Liquidité Investie",'Inventaire M'!D345="Option/Future",'Inventaire M'!D345="TCN",'Inventaire M'!D345=""),"-",'Inventaire M'!A345)</f>
        <v>-</v>
      </c>
      <c r="C572" s="175" t="str">
        <f>IF(OR('Inventaire M'!D345="Dispo/Liquidité Investie",'Inventaire M'!D345="Option/Future",'Inventaire M'!D345="TCN",'Inventaire M'!D345=""),"-",'Inventaire M'!B345)</f>
        <v>-</v>
      </c>
      <c r="D572" s="175"/>
      <c r="E572" s="175" t="str">
        <f>IF(B572="-","",INDEX('Inventaire M'!$A$2:$AW$9305,MATCH(B572,'Inventaire M'!$A:$A,0)-1,MATCH("Cours EUR",'Inventaire M'!#REF!,0)))</f>
        <v/>
      </c>
      <c r="F572" s="175" t="str">
        <f>IF(B572="-","",IF(ISERROR(INDEX('Inventaire M-1'!$A$2:$AZ$9320,MATCH(B572,'Inventaire M-1'!$A:$A,0)-1,MATCH("Cours EUR",'Inventaire M-1'!#REF!,0))),"Buy",INDEX('Inventaire M-1'!$A$2:$AZ$9320,MATCH(B572,'Inventaire M-1'!$A:$A,0)-1,MATCH("Cours EUR",'Inventaire M-1'!#REF!,0))))</f>
        <v/>
      </c>
      <c r="G572" s="175"/>
      <c r="H572" s="156" t="str">
        <f>IF(B572="-","",INDEX('Inventaire M'!$A$2:$AW$9305,MATCH(B572,'Inventaire M'!$A:$A,0)-1,MATCH("quantite",'Inventaire M'!#REF!,0)))</f>
        <v/>
      </c>
      <c r="I572" s="156" t="str">
        <f>IF(C572="-","",IF(ISERROR(INDEX('Inventaire M-1'!$A$2:$AZ$9320,MATCH(B572,'Inventaire M-1'!$A:$A,0)-1,MATCH("quantite",'Inventaire M-1'!#REF!,0))),"Buy",INDEX('Inventaire M-1'!$A$2:$AZ$9320,MATCH(B572,'Inventaire M-1'!$A:$A,0)-1,MATCH("quantite",'Inventaire M-1'!#REF!,0))))</f>
        <v/>
      </c>
      <c r="J572" s="175"/>
      <c r="K572" s="155" t="str">
        <f>IF(B572="-","",INDEX('Inventaire M'!$A$2:$AW$9305,MATCH(B572,'Inventaire M'!$A:$A,0)-1,MATCH("poids",'Inventaire M'!#REF!,0)))</f>
        <v/>
      </c>
      <c r="L572" s="155" t="str">
        <f>IF(B572="-","",IF(ISERROR(INDEX('Inventaire M-1'!$A$2:$AZ$9320,MATCH(B572,'Inventaire M-1'!$A:$A,0)-1,MATCH("poids",'Inventaire M-1'!#REF!,0))),"Buy",INDEX('Inventaire M-1'!$A$2:$AZ$9320,MATCH(B572,'Inventaire M-1'!$A:$A,0)-1,MATCH("poids",'Inventaire M-1'!#REF!,0))))</f>
        <v/>
      </c>
      <c r="M572" s="175"/>
      <c r="N572" s="157" t="str">
        <f t="shared" si="61"/>
        <v>0</v>
      </c>
      <c r="O572" s="98" t="str">
        <f t="shared" si="60"/>
        <v/>
      </c>
      <c r="P572" s="80" t="str">
        <f t="shared" si="62"/>
        <v>-</v>
      </c>
      <c r="Q572" s="75">
        <v>5.4800000000000001E-8</v>
      </c>
      <c r="R572" s="175" t="str">
        <f>IF(OR('Inventaire M-1'!D324="Dispo/Liquidité Investie",'Inventaire M-1'!D324="Option/Future",'Inventaire M-1'!D324="TCN",'Inventaire M-1'!D324=""),"-",'Inventaire M-1'!A324)</f>
        <v>-</v>
      </c>
      <c r="S572" s="175" t="str">
        <f>IF(OR('Inventaire M-1'!D324="Dispo/Liquidité Investie",'Inventaire M-1'!D324="Option/Future",'Inventaire M-1'!D324="TCN",'Inventaire M-1'!D324=""),"-",'Inventaire M-1'!B324)</f>
        <v>-</v>
      </c>
      <c r="T572" s="175"/>
      <c r="U572" s="175" t="str">
        <f>IF(R572="-","",INDEX('Inventaire M-1'!$A$2:$AG$9334,MATCH(R572,'Inventaire M-1'!$A:$A,0)-1,MATCH("Cours EUR",'Inventaire M-1'!#REF!,0)))</f>
        <v/>
      </c>
      <c r="V572" s="175" t="str">
        <f>IF(R572="-","",IF(ISERROR(INDEX('Inventaire M'!$A$2:$AD$9319,MATCH(R572,'Inventaire M'!$A:$A,0)-1,MATCH("Cours EUR",'Inventaire M'!#REF!,0))),"Sell",INDEX('Inventaire M'!$A$2:$AD$9319,MATCH(R572,'Inventaire M'!$A:$A,0)-1,MATCH("Cours EUR",'Inventaire M'!#REF!,0))))</f>
        <v/>
      </c>
      <c r="W572" s="175"/>
      <c r="X572" s="156" t="str">
        <f>IF(R572="-","",INDEX('Inventaire M-1'!$A$2:$AG$9334,MATCH(R572,'Inventaire M-1'!$A:$A,0)-1,MATCH("quantite",'Inventaire M-1'!#REF!,0)))</f>
        <v/>
      </c>
      <c r="Y572" s="156" t="str">
        <f>IF(S572="-","",IF(ISERROR(INDEX('Inventaire M'!$A$2:$AD$9319,MATCH(R572,'Inventaire M'!$A:$A,0)-1,MATCH("quantite",'Inventaire M'!#REF!,0))),"Sell",INDEX('Inventaire M'!$A$2:$AD$9319,MATCH(R572,'Inventaire M'!$A:$A,0)-1,MATCH("quantite",'Inventaire M'!#REF!,0))))</f>
        <v/>
      </c>
      <c r="Z572" s="175"/>
      <c r="AA572" s="155" t="str">
        <f>IF(R572="-","",INDEX('Inventaire M-1'!$A$2:$AG$9334,MATCH(R572,'Inventaire M-1'!$A:$A,0)-1,MATCH("poids",'Inventaire M-1'!#REF!,0)))</f>
        <v/>
      </c>
      <c r="AB572" s="155" t="str">
        <f>IF(R572="-","",IF(ISERROR(INDEX('Inventaire M'!$A$2:$AD$9319,MATCH(R572,'Inventaire M'!$A:$A,0)-1,MATCH("poids",'Inventaire M'!#REF!,0))),"Sell",INDEX('Inventaire M'!$A$2:$AD$9319,MATCH(R572,'Inventaire M'!$A:$A,0)-1,MATCH("poids",'Inventaire M'!#REF!,0))))</f>
        <v/>
      </c>
      <c r="AC572" s="175"/>
      <c r="AD572" s="157" t="str">
        <f t="shared" si="63"/>
        <v>0</v>
      </c>
      <c r="AE572" s="98" t="str">
        <f t="shared" si="64"/>
        <v/>
      </c>
      <c r="AF572" s="80" t="str">
        <f t="shared" si="65"/>
        <v>-</v>
      </c>
    </row>
    <row r="573" spans="2:32" outlineLevel="1">
      <c r="B573" s="175" t="str">
        <f>IF(OR('Inventaire M'!D346="Dispo/Liquidité Investie",'Inventaire M'!D346="Option/Future",'Inventaire M'!D346="TCN",'Inventaire M'!D346=""),"-",'Inventaire M'!A346)</f>
        <v>-</v>
      </c>
      <c r="C573" s="175" t="str">
        <f>IF(OR('Inventaire M'!D346="Dispo/Liquidité Investie",'Inventaire M'!D346="Option/Future",'Inventaire M'!D346="TCN",'Inventaire M'!D346=""),"-",'Inventaire M'!B346)</f>
        <v>-</v>
      </c>
      <c r="D573" s="175"/>
      <c r="E573" s="175" t="str">
        <f>IF(B573="-","",INDEX('Inventaire M'!$A$2:$AW$9305,MATCH(B573,'Inventaire M'!$A:$A,0)-1,MATCH("Cours EUR",'Inventaire M'!#REF!,0)))</f>
        <v/>
      </c>
      <c r="F573" s="175" t="str">
        <f>IF(B573="-","",IF(ISERROR(INDEX('Inventaire M-1'!$A$2:$AZ$9320,MATCH(B573,'Inventaire M-1'!$A:$A,0)-1,MATCH("Cours EUR",'Inventaire M-1'!#REF!,0))),"Buy",INDEX('Inventaire M-1'!$A$2:$AZ$9320,MATCH(B573,'Inventaire M-1'!$A:$A,0)-1,MATCH("Cours EUR",'Inventaire M-1'!#REF!,0))))</f>
        <v/>
      </c>
      <c r="G573" s="175"/>
      <c r="H573" s="156" t="str">
        <f>IF(B573="-","",INDEX('Inventaire M'!$A$2:$AW$9305,MATCH(B573,'Inventaire M'!$A:$A,0)-1,MATCH("quantite",'Inventaire M'!#REF!,0)))</f>
        <v/>
      </c>
      <c r="I573" s="156" t="str">
        <f>IF(C573="-","",IF(ISERROR(INDEX('Inventaire M-1'!$A$2:$AZ$9320,MATCH(B573,'Inventaire M-1'!$A:$A,0)-1,MATCH("quantite",'Inventaire M-1'!#REF!,0))),"Buy",INDEX('Inventaire M-1'!$A$2:$AZ$9320,MATCH(B573,'Inventaire M-1'!$A:$A,0)-1,MATCH("quantite",'Inventaire M-1'!#REF!,0))))</f>
        <v/>
      </c>
      <c r="J573" s="175"/>
      <c r="K573" s="155" t="str">
        <f>IF(B573="-","",INDEX('Inventaire M'!$A$2:$AW$9305,MATCH(B573,'Inventaire M'!$A:$A,0)-1,MATCH("poids",'Inventaire M'!#REF!,0)))</f>
        <v/>
      </c>
      <c r="L573" s="155" t="str">
        <f>IF(B573="-","",IF(ISERROR(INDEX('Inventaire M-1'!$A$2:$AZ$9320,MATCH(B573,'Inventaire M-1'!$A:$A,0)-1,MATCH("poids",'Inventaire M-1'!#REF!,0))),"Buy",INDEX('Inventaire M-1'!$A$2:$AZ$9320,MATCH(B573,'Inventaire M-1'!$A:$A,0)-1,MATCH("poids",'Inventaire M-1'!#REF!,0))))</f>
        <v/>
      </c>
      <c r="M573" s="175"/>
      <c r="N573" s="157" t="str">
        <f t="shared" si="61"/>
        <v>0</v>
      </c>
      <c r="O573" s="98" t="str">
        <f t="shared" si="60"/>
        <v/>
      </c>
      <c r="P573" s="80" t="str">
        <f t="shared" si="62"/>
        <v>-</v>
      </c>
      <c r="Q573" s="75">
        <v>5.4900000000000002E-8</v>
      </c>
      <c r="R573" s="175" t="str">
        <f>IF(OR('Inventaire M-1'!D325="Dispo/Liquidité Investie",'Inventaire M-1'!D325="Option/Future",'Inventaire M-1'!D325="TCN",'Inventaire M-1'!D325=""),"-",'Inventaire M-1'!A325)</f>
        <v>-</v>
      </c>
      <c r="S573" s="175" t="str">
        <f>IF(OR('Inventaire M-1'!D325="Dispo/Liquidité Investie",'Inventaire M-1'!D325="Option/Future",'Inventaire M-1'!D325="TCN",'Inventaire M-1'!D325=""),"-",'Inventaire M-1'!B325)</f>
        <v>-</v>
      </c>
      <c r="T573" s="175"/>
      <c r="U573" s="175" t="str">
        <f>IF(R573="-","",INDEX('Inventaire M-1'!$A$2:$AG$9334,MATCH(R573,'Inventaire M-1'!$A:$A,0)-1,MATCH("Cours EUR",'Inventaire M-1'!#REF!,0)))</f>
        <v/>
      </c>
      <c r="V573" s="175" t="str">
        <f>IF(R573="-","",IF(ISERROR(INDEX('Inventaire M'!$A$2:$AD$9319,MATCH(R573,'Inventaire M'!$A:$A,0)-1,MATCH("Cours EUR",'Inventaire M'!#REF!,0))),"Sell",INDEX('Inventaire M'!$A$2:$AD$9319,MATCH(R573,'Inventaire M'!$A:$A,0)-1,MATCH("Cours EUR",'Inventaire M'!#REF!,0))))</f>
        <v/>
      </c>
      <c r="W573" s="175"/>
      <c r="X573" s="156" t="str">
        <f>IF(R573="-","",INDEX('Inventaire M-1'!$A$2:$AG$9334,MATCH(R573,'Inventaire M-1'!$A:$A,0)-1,MATCH("quantite",'Inventaire M-1'!#REF!,0)))</f>
        <v/>
      </c>
      <c r="Y573" s="156" t="str">
        <f>IF(S573="-","",IF(ISERROR(INDEX('Inventaire M'!$A$2:$AD$9319,MATCH(R573,'Inventaire M'!$A:$A,0)-1,MATCH("quantite",'Inventaire M'!#REF!,0))),"Sell",INDEX('Inventaire M'!$A$2:$AD$9319,MATCH(R573,'Inventaire M'!$A:$A,0)-1,MATCH("quantite",'Inventaire M'!#REF!,0))))</f>
        <v/>
      </c>
      <c r="Z573" s="175"/>
      <c r="AA573" s="155" t="str">
        <f>IF(R573="-","",INDEX('Inventaire M-1'!$A$2:$AG$9334,MATCH(R573,'Inventaire M-1'!$A:$A,0)-1,MATCH("poids",'Inventaire M-1'!#REF!,0)))</f>
        <v/>
      </c>
      <c r="AB573" s="155" t="str">
        <f>IF(R573="-","",IF(ISERROR(INDEX('Inventaire M'!$A$2:$AD$9319,MATCH(R573,'Inventaire M'!$A:$A,0)-1,MATCH("poids",'Inventaire M'!#REF!,0))),"Sell",INDEX('Inventaire M'!$A$2:$AD$9319,MATCH(R573,'Inventaire M'!$A:$A,0)-1,MATCH("poids",'Inventaire M'!#REF!,0))))</f>
        <v/>
      </c>
      <c r="AC573" s="175"/>
      <c r="AD573" s="157" t="str">
        <f t="shared" si="63"/>
        <v>0</v>
      </c>
      <c r="AE573" s="98" t="str">
        <f t="shared" si="64"/>
        <v/>
      </c>
      <c r="AF573" s="80" t="str">
        <f t="shared" si="65"/>
        <v>-</v>
      </c>
    </row>
    <row r="574" spans="2:32" outlineLevel="1">
      <c r="B574" s="175" t="str">
        <f>IF(OR('Inventaire M'!D347="Dispo/Liquidité Investie",'Inventaire M'!D347="Option/Future",'Inventaire M'!D347="TCN",'Inventaire M'!D347=""),"-",'Inventaire M'!A347)</f>
        <v>-</v>
      </c>
      <c r="C574" s="175" t="str">
        <f>IF(OR('Inventaire M'!D347="Dispo/Liquidité Investie",'Inventaire M'!D347="Option/Future",'Inventaire M'!D347="TCN",'Inventaire M'!D347=""),"-",'Inventaire M'!B347)</f>
        <v>-</v>
      </c>
      <c r="D574" s="175"/>
      <c r="E574" s="175" t="str">
        <f>IF(B574="-","",INDEX('Inventaire M'!$A$2:$AW$9305,MATCH(B574,'Inventaire M'!$A:$A,0)-1,MATCH("Cours EUR",'Inventaire M'!#REF!,0)))</f>
        <v/>
      </c>
      <c r="F574" s="175" t="str">
        <f>IF(B574="-","",IF(ISERROR(INDEX('Inventaire M-1'!$A$2:$AZ$9320,MATCH(B574,'Inventaire M-1'!$A:$A,0)-1,MATCH("Cours EUR",'Inventaire M-1'!#REF!,0))),"Buy",INDEX('Inventaire M-1'!$A$2:$AZ$9320,MATCH(B574,'Inventaire M-1'!$A:$A,0)-1,MATCH("Cours EUR",'Inventaire M-1'!#REF!,0))))</f>
        <v/>
      </c>
      <c r="G574" s="175"/>
      <c r="H574" s="156" t="str">
        <f>IF(B574="-","",INDEX('Inventaire M'!$A$2:$AW$9305,MATCH(B574,'Inventaire M'!$A:$A,0)-1,MATCH("quantite",'Inventaire M'!#REF!,0)))</f>
        <v/>
      </c>
      <c r="I574" s="156" t="str">
        <f>IF(C574="-","",IF(ISERROR(INDEX('Inventaire M-1'!$A$2:$AZ$9320,MATCH(B574,'Inventaire M-1'!$A:$A,0)-1,MATCH("quantite",'Inventaire M-1'!#REF!,0))),"Buy",INDEX('Inventaire M-1'!$A$2:$AZ$9320,MATCH(B574,'Inventaire M-1'!$A:$A,0)-1,MATCH("quantite",'Inventaire M-1'!#REF!,0))))</f>
        <v/>
      </c>
      <c r="J574" s="175"/>
      <c r="K574" s="155" t="str">
        <f>IF(B574="-","",INDEX('Inventaire M'!$A$2:$AW$9305,MATCH(B574,'Inventaire M'!$A:$A,0)-1,MATCH("poids",'Inventaire M'!#REF!,0)))</f>
        <v/>
      </c>
      <c r="L574" s="155" t="str">
        <f>IF(B574="-","",IF(ISERROR(INDEX('Inventaire M-1'!$A$2:$AZ$9320,MATCH(B574,'Inventaire M-1'!$A:$A,0)-1,MATCH("poids",'Inventaire M-1'!#REF!,0))),"Buy",INDEX('Inventaire M-1'!$A$2:$AZ$9320,MATCH(B574,'Inventaire M-1'!$A:$A,0)-1,MATCH("poids",'Inventaire M-1'!#REF!,0))))</f>
        <v/>
      </c>
      <c r="M574" s="175"/>
      <c r="N574" s="157" t="str">
        <f t="shared" si="61"/>
        <v>0</v>
      </c>
      <c r="O574" s="98" t="str">
        <f t="shared" si="60"/>
        <v/>
      </c>
      <c r="P574" s="80" t="str">
        <f t="shared" si="62"/>
        <v>-</v>
      </c>
      <c r="Q574" s="75">
        <v>5.5000000000000003E-8</v>
      </c>
      <c r="R574" s="175" t="str">
        <f>IF(OR('Inventaire M-1'!D326="Dispo/Liquidité Investie",'Inventaire M-1'!D326="Option/Future",'Inventaire M-1'!D326="TCN",'Inventaire M-1'!D326=""),"-",'Inventaire M-1'!A326)</f>
        <v>-</v>
      </c>
      <c r="S574" s="175" t="str">
        <f>IF(OR('Inventaire M-1'!D326="Dispo/Liquidité Investie",'Inventaire M-1'!D326="Option/Future",'Inventaire M-1'!D326="TCN",'Inventaire M-1'!D326=""),"-",'Inventaire M-1'!B326)</f>
        <v>-</v>
      </c>
      <c r="T574" s="175"/>
      <c r="U574" s="175" t="str">
        <f>IF(R574="-","",INDEX('Inventaire M-1'!$A$2:$AG$9334,MATCH(R574,'Inventaire M-1'!$A:$A,0)-1,MATCH("Cours EUR",'Inventaire M-1'!#REF!,0)))</f>
        <v/>
      </c>
      <c r="V574" s="175" t="str">
        <f>IF(R574="-","",IF(ISERROR(INDEX('Inventaire M'!$A$2:$AD$9319,MATCH(R574,'Inventaire M'!$A:$A,0)-1,MATCH("Cours EUR",'Inventaire M'!#REF!,0))),"Sell",INDEX('Inventaire M'!$A$2:$AD$9319,MATCH(R574,'Inventaire M'!$A:$A,0)-1,MATCH("Cours EUR",'Inventaire M'!#REF!,0))))</f>
        <v/>
      </c>
      <c r="W574" s="175"/>
      <c r="X574" s="156" t="str">
        <f>IF(R574="-","",INDEX('Inventaire M-1'!$A$2:$AG$9334,MATCH(R574,'Inventaire M-1'!$A:$A,0)-1,MATCH("quantite",'Inventaire M-1'!#REF!,0)))</f>
        <v/>
      </c>
      <c r="Y574" s="156" t="str">
        <f>IF(S574="-","",IF(ISERROR(INDEX('Inventaire M'!$A$2:$AD$9319,MATCH(R574,'Inventaire M'!$A:$A,0)-1,MATCH("quantite",'Inventaire M'!#REF!,0))),"Sell",INDEX('Inventaire M'!$A$2:$AD$9319,MATCH(R574,'Inventaire M'!$A:$A,0)-1,MATCH("quantite",'Inventaire M'!#REF!,0))))</f>
        <v/>
      </c>
      <c r="Z574" s="175"/>
      <c r="AA574" s="155" t="str">
        <f>IF(R574="-","",INDEX('Inventaire M-1'!$A$2:$AG$9334,MATCH(R574,'Inventaire M-1'!$A:$A,0)-1,MATCH("poids",'Inventaire M-1'!#REF!,0)))</f>
        <v/>
      </c>
      <c r="AB574" s="155" t="str">
        <f>IF(R574="-","",IF(ISERROR(INDEX('Inventaire M'!$A$2:$AD$9319,MATCH(R574,'Inventaire M'!$A:$A,0)-1,MATCH("poids",'Inventaire M'!#REF!,0))),"Sell",INDEX('Inventaire M'!$A$2:$AD$9319,MATCH(R574,'Inventaire M'!$A:$A,0)-1,MATCH("poids",'Inventaire M'!#REF!,0))))</f>
        <v/>
      </c>
      <c r="AC574" s="175"/>
      <c r="AD574" s="157" t="str">
        <f t="shared" si="63"/>
        <v>0</v>
      </c>
      <c r="AE574" s="98" t="str">
        <f t="shared" si="64"/>
        <v/>
      </c>
      <c r="AF574" s="80" t="str">
        <f t="shared" si="65"/>
        <v>-</v>
      </c>
    </row>
    <row r="575" spans="2:32" outlineLevel="1">
      <c r="B575" s="175" t="str">
        <f>IF(OR('Inventaire M'!D348="Dispo/Liquidité Investie",'Inventaire M'!D348="Option/Future",'Inventaire M'!D348="TCN",'Inventaire M'!D348=""),"-",'Inventaire M'!A348)</f>
        <v>-</v>
      </c>
      <c r="C575" s="175" t="str">
        <f>IF(OR('Inventaire M'!D348="Dispo/Liquidité Investie",'Inventaire M'!D348="Option/Future",'Inventaire M'!D348="TCN",'Inventaire M'!D348=""),"-",'Inventaire M'!B348)</f>
        <v>-</v>
      </c>
      <c r="D575" s="175"/>
      <c r="E575" s="175" t="str">
        <f>IF(B575="-","",INDEX('Inventaire M'!$A$2:$AW$9305,MATCH(B575,'Inventaire M'!$A:$A,0)-1,MATCH("Cours EUR",'Inventaire M'!#REF!,0)))</f>
        <v/>
      </c>
      <c r="F575" s="175" t="str">
        <f>IF(B575="-","",IF(ISERROR(INDEX('Inventaire M-1'!$A$2:$AZ$9320,MATCH(B575,'Inventaire M-1'!$A:$A,0)-1,MATCH("Cours EUR",'Inventaire M-1'!#REF!,0))),"Buy",INDEX('Inventaire M-1'!$A$2:$AZ$9320,MATCH(B575,'Inventaire M-1'!$A:$A,0)-1,MATCH("Cours EUR",'Inventaire M-1'!#REF!,0))))</f>
        <v/>
      </c>
      <c r="G575" s="175"/>
      <c r="H575" s="156" t="str">
        <f>IF(B575="-","",INDEX('Inventaire M'!$A$2:$AW$9305,MATCH(B575,'Inventaire M'!$A:$A,0)-1,MATCH("quantite",'Inventaire M'!#REF!,0)))</f>
        <v/>
      </c>
      <c r="I575" s="156" t="str">
        <f>IF(C575="-","",IF(ISERROR(INDEX('Inventaire M-1'!$A$2:$AZ$9320,MATCH(B575,'Inventaire M-1'!$A:$A,0)-1,MATCH("quantite",'Inventaire M-1'!#REF!,0))),"Buy",INDEX('Inventaire M-1'!$A$2:$AZ$9320,MATCH(B575,'Inventaire M-1'!$A:$A,0)-1,MATCH("quantite",'Inventaire M-1'!#REF!,0))))</f>
        <v/>
      </c>
      <c r="J575" s="175"/>
      <c r="K575" s="155" t="str">
        <f>IF(B575="-","",INDEX('Inventaire M'!$A$2:$AW$9305,MATCH(B575,'Inventaire M'!$A:$A,0)-1,MATCH("poids",'Inventaire M'!#REF!,0)))</f>
        <v/>
      </c>
      <c r="L575" s="155" t="str">
        <f>IF(B575="-","",IF(ISERROR(INDEX('Inventaire M-1'!$A$2:$AZ$9320,MATCH(B575,'Inventaire M-1'!$A:$A,0)-1,MATCH("poids",'Inventaire M-1'!#REF!,0))),"Buy",INDEX('Inventaire M-1'!$A$2:$AZ$9320,MATCH(B575,'Inventaire M-1'!$A:$A,0)-1,MATCH("poids",'Inventaire M-1'!#REF!,0))))</f>
        <v/>
      </c>
      <c r="M575" s="175"/>
      <c r="N575" s="157" t="str">
        <f t="shared" si="61"/>
        <v>0</v>
      </c>
      <c r="O575" s="98" t="str">
        <f t="shared" si="60"/>
        <v/>
      </c>
      <c r="P575" s="80" t="str">
        <f t="shared" si="62"/>
        <v>-</v>
      </c>
      <c r="Q575" s="75">
        <v>5.5099999999999997E-8</v>
      </c>
      <c r="R575" s="175" t="str">
        <f>IF(OR('Inventaire M-1'!D327="Dispo/Liquidité Investie",'Inventaire M-1'!D327="Option/Future",'Inventaire M-1'!D327="TCN",'Inventaire M-1'!D327=""),"-",'Inventaire M-1'!A327)</f>
        <v>-</v>
      </c>
      <c r="S575" s="175" t="str">
        <f>IF(OR('Inventaire M-1'!D327="Dispo/Liquidité Investie",'Inventaire M-1'!D327="Option/Future",'Inventaire M-1'!D327="TCN",'Inventaire M-1'!D327=""),"-",'Inventaire M-1'!B327)</f>
        <v>-</v>
      </c>
      <c r="T575" s="175"/>
      <c r="U575" s="175" t="str">
        <f>IF(R575="-","",INDEX('Inventaire M-1'!$A$2:$AG$9334,MATCH(R575,'Inventaire M-1'!$A:$A,0)-1,MATCH("Cours EUR",'Inventaire M-1'!#REF!,0)))</f>
        <v/>
      </c>
      <c r="V575" s="175" t="str">
        <f>IF(R575="-","",IF(ISERROR(INDEX('Inventaire M'!$A$2:$AD$9319,MATCH(R575,'Inventaire M'!$A:$A,0)-1,MATCH("Cours EUR",'Inventaire M'!#REF!,0))),"Sell",INDEX('Inventaire M'!$A$2:$AD$9319,MATCH(R575,'Inventaire M'!$A:$A,0)-1,MATCH("Cours EUR",'Inventaire M'!#REF!,0))))</f>
        <v/>
      </c>
      <c r="W575" s="175"/>
      <c r="X575" s="156" t="str">
        <f>IF(R575="-","",INDEX('Inventaire M-1'!$A$2:$AG$9334,MATCH(R575,'Inventaire M-1'!$A:$A,0)-1,MATCH("quantite",'Inventaire M-1'!#REF!,0)))</f>
        <v/>
      </c>
      <c r="Y575" s="156" t="str">
        <f>IF(S575="-","",IF(ISERROR(INDEX('Inventaire M'!$A$2:$AD$9319,MATCH(R575,'Inventaire M'!$A:$A,0)-1,MATCH("quantite",'Inventaire M'!#REF!,0))),"Sell",INDEX('Inventaire M'!$A$2:$AD$9319,MATCH(R575,'Inventaire M'!$A:$A,0)-1,MATCH("quantite",'Inventaire M'!#REF!,0))))</f>
        <v/>
      </c>
      <c r="Z575" s="175"/>
      <c r="AA575" s="155" t="str">
        <f>IF(R575="-","",INDEX('Inventaire M-1'!$A$2:$AG$9334,MATCH(R575,'Inventaire M-1'!$A:$A,0)-1,MATCH("poids",'Inventaire M-1'!#REF!,0)))</f>
        <v/>
      </c>
      <c r="AB575" s="155" t="str">
        <f>IF(R575="-","",IF(ISERROR(INDEX('Inventaire M'!$A$2:$AD$9319,MATCH(R575,'Inventaire M'!$A:$A,0)-1,MATCH("poids",'Inventaire M'!#REF!,0))),"Sell",INDEX('Inventaire M'!$A$2:$AD$9319,MATCH(R575,'Inventaire M'!$A:$A,0)-1,MATCH("poids",'Inventaire M'!#REF!,0))))</f>
        <v/>
      </c>
      <c r="AC575" s="175"/>
      <c r="AD575" s="157" t="str">
        <f t="shared" si="63"/>
        <v>0</v>
      </c>
      <c r="AE575" s="98" t="str">
        <f t="shared" si="64"/>
        <v/>
      </c>
      <c r="AF575" s="80" t="str">
        <f t="shared" si="65"/>
        <v>-</v>
      </c>
    </row>
    <row r="576" spans="2:32" outlineLevel="1">
      <c r="B576" s="175" t="str">
        <f>IF(OR('Inventaire M'!D349="Dispo/Liquidité Investie",'Inventaire M'!D349="Option/Future",'Inventaire M'!D349="TCN",'Inventaire M'!D349=""),"-",'Inventaire M'!A349)</f>
        <v>-</v>
      </c>
      <c r="C576" s="175" t="str">
        <f>IF(OR('Inventaire M'!D349="Dispo/Liquidité Investie",'Inventaire M'!D349="Option/Future",'Inventaire M'!D349="TCN",'Inventaire M'!D349=""),"-",'Inventaire M'!B349)</f>
        <v>-</v>
      </c>
      <c r="D576" s="175"/>
      <c r="E576" s="175" t="str">
        <f>IF(B576="-","",INDEX('Inventaire M'!$A$2:$AW$9305,MATCH(B576,'Inventaire M'!$A:$A,0)-1,MATCH("Cours EUR",'Inventaire M'!#REF!,0)))</f>
        <v/>
      </c>
      <c r="F576" s="175" t="str">
        <f>IF(B576="-","",IF(ISERROR(INDEX('Inventaire M-1'!$A$2:$AZ$9320,MATCH(B576,'Inventaire M-1'!$A:$A,0)-1,MATCH("Cours EUR",'Inventaire M-1'!#REF!,0))),"Buy",INDEX('Inventaire M-1'!$A$2:$AZ$9320,MATCH(B576,'Inventaire M-1'!$A:$A,0)-1,MATCH("Cours EUR",'Inventaire M-1'!#REF!,0))))</f>
        <v/>
      </c>
      <c r="G576" s="175"/>
      <c r="H576" s="156" t="str">
        <f>IF(B576="-","",INDEX('Inventaire M'!$A$2:$AW$9305,MATCH(B576,'Inventaire M'!$A:$A,0)-1,MATCH("quantite",'Inventaire M'!#REF!,0)))</f>
        <v/>
      </c>
      <c r="I576" s="156" t="str">
        <f>IF(C576="-","",IF(ISERROR(INDEX('Inventaire M-1'!$A$2:$AZ$9320,MATCH(B576,'Inventaire M-1'!$A:$A,0)-1,MATCH("quantite",'Inventaire M-1'!#REF!,0))),"Buy",INDEX('Inventaire M-1'!$A$2:$AZ$9320,MATCH(B576,'Inventaire M-1'!$A:$A,0)-1,MATCH("quantite",'Inventaire M-1'!#REF!,0))))</f>
        <v/>
      </c>
      <c r="J576" s="175"/>
      <c r="K576" s="155" t="str">
        <f>IF(B576="-","",INDEX('Inventaire M'!$A$2:$AW$9305,MATCH(B576,'Inventaire M'!$A:$A,0)-1,MATCH("poids",'Inventaire M'!#REF!,0)))</f>
        <v/>
      </c>
      <c r="L576" s="155" t="str">
        <f>IF(B576="-","",IF(ISERROR(INDEX('Inventaire M-1'!$A$2:$AZ$9320,MATCH(B576,'Inventaire M-1'!$A:$A,0)-1,MATCH("poids",'Inventaire M-1'!#REF!,0))),"Buy",INDEX('Inventaire M-1'!$A$2:$AZ$9320,MATCH(B576,'Inventaire M-1'!$A:$A,0)-1,MATCH("poids",'Inventaire M-1'!#REF!,0))))</f>
        <v/>
      </c>
      <c r="M576" s="175"/>
      <c r="N576" s="157" t="str">
        <f t="shared" si="61"/>
        <v>0</v>
      </c>
      <c r="O576" s="98" t="str">
        <f t="shared" si="60"/>
        <v/>
      </c>
      <c r="P576" s="80" t="str">
        <f t="shared" si="62"/>
        <v>-</v>
      </c>
      <c r="Q576" s="75">
        <v>5.5199999999999998E-8</v>
      </c>
      <c r="R576" s="175" t="str">
        <f>IF(OR('Inventaire M-1'!D328="Dispo/Liquidité Investie",'Inventaire M-1'!D328="Option/Future",'Inventaire M-1'!D328="TCN",'Inventaire M-1'!D328=""),"-",'Inventaire M-1'!A328)</f>
        <v>-</v>
      </c>
      <c r="S576" s="175" t="str">
        <f>IF(OR('Inventaire M-1'!D328="Dispo/Liquidité Investie",'Inventaire M-1'!D328="Option/Future",'Inventaire M-1'!D328="TCN",'Inventaire M-1'!D328=""),"-",'Inventaire M-1'!B328)</f>
        <v>-</v>
      </c>
      <c r="T576" s="175"/>
      <c r="U576" s="175" t="str">
        <f>IF(R576="-","",INDEX('Inventaire M-1'!$A$2:$AG$9334,MATCH(R576,'Inventaire M-1'!$A:$A,0)-1,MATCH("Cours EUR",'Inventaire M-1'!#REF!,0)))</f>
        <v/>
      </c>
      <c r="V576" s="175" t="str">
        <f>IF(R576="-","",IF(ISERROR(INDEX('Inventaire M'!$A$2:$AD$9319,MATCH(R576,'Inventaire M'!$A:$A,0)-1,MATCH("Cours EUR",'Inventaire M'!#REF!,0))),"Sell",INDEX('Inventaire M'!$A$2:$AD$9319,MATCH(R576,'Inventaire M'!$A:$A,0)-1,MATCH("Cours EUR",'Inventaire M'!#REF!,0))))</f>
        <v/>
      </c>
      <c r="W576" s="175"/>
      <c r="X576" s="156" t="str">
        <f>IF(R576="-","",INDEX('Inventaire M-1'!$A$2:$AG$9334,MATCH(R576,'Inventaire M-1'!$A:$A,0)-1,MATCH("quantite",'Inventaire M-1'!#REF!,0)))</f>
        <v/>
      </c>
      <c r="Y576" s="156" t="str">
        <f>IF(S576="-","",IF(ISERROR(INDEX('Inventaire M'!$A$2:$AD$9319,MATCH(R576,'Inventaire M'!$A:$A,0)-1,MATCH("quantite",'Inventaire M'!#REF!,0))),"Sell",INDEX('Inventaire M'!$A$2:$AD$9319,MATCH(R576,'Inventaire M'!$A:$A,0)-1,MATCH("quantite",'Inventaire M'!#REF!,0))))</f>
        <v/>
      </c>
      <c r="Z576" s="175"/>
      <c r="AA576" s="155" t="str">
        <f>IF(R576="-","",INDEX('Inventaire M-1'!$A$2:$AG$9334,MATCH(R576,'Inventaire M-1'!$A:$A,0)-1,MATCH("poids",'Inventaire M-1'!#REF!,0)))</f>
        <v/>
      </c>
      <c r="AB576" s="155" t="str">
        <f>IF(R576="-","",IF(ISERROR(INDEX('Inventaire M'!$A$2:$AD$9319,MATCH(R576,'Inventaire M'!$A:$A,0)-1,MATCH("poids",'Inventaire M'!#REF!,0))),"Sell",INDEX('Inventaire M'!$A$2:$AD$9319,MATCH(R576,'Inventaire M'!$A:$A,0)-1,MATCH("poids",'Inventaire M'!#REF!,0))))</f>
        <v/>
      </c>
      <c r="AC576" s="175"/>
      <c r="AD576" s="157" t="str">
        <f t="shared" si="63"/>
        <v>0</v>
      </c>
      <c r="AE576" s="98" t="str">
        <f t="shared" si="64"/>
        <v/>
      </c>
      <c r="AF576" s="80" t="str">
        <f t="shared" si="65"/>
        <v>-</v>
      </c>
    </row>
    <row r="577" spans="2:32" outlineLevel="1">
      <c r="B577" s="175" t="str">
        <f>IF(OR('Inventaire M'!D350="Dispo/Liquidité Investie",'Inventaire M'!D350="Option/Future",'Inventaire M'!D350="TCN",'Inventaire M'!D350=""),"-",'Inventaire M'!A350)</f>
        <v>-</v>
      </c>
      <c r="C577" s="175" t="str">
        <f>IF(OR('Inventaire M'!D350="Dispo/Liquidité Investie",'Inventaire M'!D350="Option/Future",'Inventaire M'!D350="TCN",'Inventaire M'!D350=""),"-",'Inventaire M'!B350)</f>
        <v>-</v>
      </c>
      <c r="D577" s="175"/>
      <c r="E577" s="175" t="str">
        <f>IF(B577="-","",INDEX('Inventaire M'!$A$2:$AW$9305,MATCH(B577,'Inventaire M'!$A:$A,0)-1,MATCH("Cours EUR",'Inventaire M'!#REF!,0)))</f>
        <v/>
      </c>
      <c r="F577" s="175" t="str">
        <f>IF(B577="-","",IF(ISERROR(INDEX('Inventaire M-1'!$A$2:$AZ$9320,MATCH(B577,'Inventaire M-1'!$A:$A,0)-1,MATCH("Cours EUR",'Inventaire M-1'!#REF!,0))),"Buy",INDEX('Inventaire M-1'!$A$2:$AZ$9320,MATCH(B577,'Inventaire M-1'!$A:$A,0)-1,MATCH("Cours EUR",'Inventaire M-1'!#REF!,0))))</f>
        <v/>
      </c>
      <c r="G577" s="175"/>
      <c r="H577" s="156" t="str">
        <f>IF(B577="-","",INDEX('Inventaire M'!$A$2:$AW$9305,MATCH(B577,'Inventaire M'!$A:$A,0)-1,MATCH("quantite",'Inventaire M'!#REF!,0)))</f>
        <v/>
      </c>
      <c r="I577" s="156" t="str">
        <f>IF(C577="-","",IF(ISERROR(INDEX('Inventaire M-1'!$A$2:$AZ$9320,MATCH(B577,'Inventaire M-1'!$A:$A,0)-1,MATCH("quantite",'Inventaire M-1'!#REF!,0))),"Buy",INDEX('Inventaire M-1'!$A$2:$AZ$9320,MATCH(B577,'Inventaire M-1'!$A:$A,0)-1,MATCH("quantite",'Inventaire M-1'!#REF!,0))))</f>
        <v/>
      </c>
      <c r="J577" s="175"/>
      <c r="K577" s="155" t="str">
        <f>IF(B577="-","",INDEX('Inventaire M'!$A$2:$AW$9305,MATCH(B577,'Inventaire M'!$A:$A,0)-1,MATCH("poids",'Inventaire M'!#REF!,0)))</f>
        <v/>
      </c>
      <c r="L577" s="155" t="str">
        <f>IF(B577="-","",IF(ISERROR(INDEX('Inventaire M-1'!$A$2:$AZ$9320,MATCH(B577,'Inventaire M-1'!$A:$A,0)-1,MATCH("poids",'Inventaire M-1'!#REF!,0))),"Buy",INDEX('Inventaire M-1'!$A$2:$AZ$9320,MATCH(B577,'Inventaire M-1'!$A:$A,0)-1,MATCH("poids",'Inventaire M-1'!#REF!,0))))</f>
        <v/>
      </c>
      <c r="M577" s="175"/>
      <c r="N577" s="157" t="str">
        <f t="shared" si="61"/>
        <v>0</v>
      </c>
      <c r="O577" s="98" t="str">
        <f t="shared" si="60"/>
        <v/>
      </c>
      <c r="P577" s="80" t="str">
        <f t="shared" si="62"/>
        <v>-</v>
      </c>
      <c r="Q577" s="75">
        <v>5.5299999999999999E-8</v>
      </c>
      <c r="R577" s="175" t="str">
        <f>IF(OR('Inventaire M-1'!D329="Dispo/Liquidité Investie",'Inventaire M-1'!D329="Option/Future",'Inventaire M-1'!D329="TCN",'Inventaire M-1'!D329=""),"-",'Inventaire M-1'!A329)</f>
        <v>-</v>
      </c>
      <c r="S577" s="175" t="str">
        <f>IF(OR('Inventaire M-1'!D329="Dispo/Liquidité Investie",'Inventaire M-1'!D329="Option/Future",'Inventaire M-1'!D329="TCN",'Inventaire M-1'!D329=""),"-",'Inventaire M-1'!B329)</f>
        <v>-</v>
      </c>
      <c r="T577" s="175"/>
      <c r="U577" s="175" t="str">
        <f>IF(R577="-","",INDEX('Inventaire M-1'!$A$2:$AG$9334,MATCH(R577,'Inventaire M-1'!$A:$A,0)-1,MATCH("Cours EUR",'Inventaire M-1'!#REF!,0)))</f>
        <v/>
      </c>
      <c r="V577" s="175" t="str">
        <f>IF(R577="-","",IF(ISERROR(INDEX('Inventaire M'!$A$2:$AD$9319,MATCH(R577,'Inventaire M'!$A:$A,0)-1,MATCH("Cours EUR",'Inventaire M'!#REF!,0))),"Sell",INDEX('Inventaire M'!$A$2:$AD$9319,MATCH(R577,'Inventaire M'!$A:$A,0)-1,MATCH("Cours EUR",'Inventaire M'!#REF!,0))))</f>
        <v/>
      </c>
      <c r="W577" s="175"/>
      <c r="X577" s="156" t="str">
        <f>IF(R577="-","",INDEX('Inventaire M-1'!$A$2:$AG$9334,MATCH(R577,'Inventaire M-1'!$A:$A,0)-1,MATCH("quantite",'Inventaire M-1'!#REF!,0)))</f>
        <v/>
      </c>
      <c r="Y577" s="156" t="str">
        <f>IF(S577="-","",IF(ISERROR(INDEX('Inventaire M'!$A$2:$AD$9319,MATCH(R577,'Inventaire M'!$A:$A,0)-1,MATCH("quantite",'Inventaire M'!#REF!,0))),"Sell",INDEX('Inventaire M'!$A$2:$AD$9319,MATCH(R577,'Inventaire M'!$A:$A,0)-1,MATCH("quantite",'Inventaire M'!#REF!,0))))</f>
        <v/>
      </c>
      <c r="Z577" s="175"/>
      <c r="AA577" s="155" t="str">
        <f>IF(R577="-","",INDEX('Inventaire M-1'!$A$2:$AG$9334,MATCH(R577,'Inventaire M-1'!$A:$A,0)-1,MATCH("poids",'Inventaire M-1'!#REF!,0)))</f>
        <v/>
      </c>
      <c r="AB577" s="155" t="str">
        <f>IF(R577="-","",IF(ISERROR(INDEX('Inventaire M'!$A$2:$AD$9319,MATCH(R577,'Inventaire M'!$A:$A,0)-1,MATCH("poids",'Inventaire M'!#REF!,0))),"Sell",INDEX('Inventaire M'!$A$2:$AD$9319,MATCH(R577,'Inventaire M'!$A:$A,0)-1,MATCH("poids",'Inventaire M'!#REF!,0))))</f>
        <v/>
      </c>
      <c r="AC577" s="175"/>
      <c r="AD577" s="157" t="str">
        <f t="shared" si="63"/>
        <v>0</v>
      </c>
      <c r="AE577" s="98" t="str">
        <f t="shared" si="64"/>
        <v/>
      </c>
      <c r="AF577" s="80" t="str">
        <f t="shared" si="65"/>
        <v>-</v>
      </c>
    </row>
    <row r="578" spans="2:32" outlineLevel="1">
      <c r="B578" s="175" t="str">
        <f>IF(OR('Inventaire M'!D351="Dispo/Liquidité Investie",'Inventaire M'!D351="Option/Future",'Inventaire M'!D351="TCN",'Inventaire M'!D351=""),"-",'Inventaire M'!A351)</f>
        <v>-</v>
      </c>
      <c r="C578" s="175" t="str">
        <f>IF(OR('Inventaire M'!D351="Dispo/Liquidité Investie",'Inventaire M'!D351="Option/Future",'Inventaire M'!D351="TCN",'Inventaire M'!D351=""),"-",'Inventaire M'!B351)</f>
        <v>-</v>
      </c>
      <c r="D578" s="175"/>
      <c r="E578" s="175" t="str">
        <f>IF(B578="-","",INDEX('Inventaire M'!$A$2:$AW$9305,MATCH(B578,'Inventaire M'!$A:$A,0)-1,MATCH("Cours EUR",'Inventaire M'!#REF!,0)))</f>
        <v/>
      </c>
      <c r="F578" s="175" t="str">
        <f>IF(B578="-","",IF(ISERROR(INDEX('Inventaire M-1'!$A$2:$AZ$9320,MATCH(B578,'Inventaire M-1'!$A:$A,0)-1,MATCH("Cours EUR",'Inventaire M-1'!#REF!,0))),"Buy",INDEX('Inventaire M-1'!$A$2:$AZ$9320,MATCH(B578,'Inventaire M-1'!$A:$A,0)-1,MATCH("Cours EUR",'Inventaire M-1'!#REF!,0))))</f>
        <v/>
      </c>
      <c r="G578" s="175"/>
      <c r="H578" s="156" t="str">
        <f>IF(B578="-","",INDEX('Inventaire M'!$A$2:$AW$9305,MATCH(B578,'Inventaire M'!$A:$A,0)-1,MATCH("quantite",'Inventaire M'!#REF!,0)))</f>
        <v/>
      </c>
      <c r="I578" s="156" t="str">
        <f>IF(C578="-","",IF(ISERROR(INDEX('Inventaire M-1'!$A$2:$AZ$9320,MATCH(B578,'Inventaire M-1'!$A:$A,0)-1,MATCH("quantite",'Inventaire M-1'!#REF!,0))),"Buy",INDEX('Inventaire M-1'!$A$2:$AZ$9320,MATCH(B578,'Inventaire M-1'!$A:$A,0)-1,MATCH("quantite",'Inventaire M-1'!#REF!,0))))</f>
        <v/>
      </c>
      <c r="J578" s="175"/>
      <c r="K578" s="155" t="str">
        <f>IF(B578="-","",INDEX('Inventaire M'!$A$2:$AW$9305,MATCH(B578,'Inventaire M'!$A:$A,0)-1,MATCH("poids",'Inventaire M'!#REF!,0)))</f>
        <v/>
      </c>
      <c r="L578" s="155" t="str">
        <f>IF(B578="-","",IF(ISERROR(INDEX('Inventaire M-1'!$A$2:$AZ$9320,MATCH(B578,'Inventaire M-1'!$A:$A,0)-1,MATCH("poids",'Inventaire M-1'!#REF!,0))),"Buy",INDEX('Inventaire M-1'!$A$2:$AZ$9320,MATCH(B578,'Inventaire M-1'!$A:$A,0)-1,MATCH("poids",'Inventaire M-1'!#REF!,0))))</f>
        <v/>
      </c>
      <c r="M578" s="175"/>
      <c r="N578" s="157" t="str">
        <f t="shared" si="61"/>
        <v>0</v>
      </c>
      <c r="O578" s="98" t="str">
        <f t="shared" si="60"/>
        <v/>
      </c>
      <c r="P578" s="80" t="str">
        <f t="shared" si="62"/>
        <v>-</v>
      </c>
      <c r="Q578" s="75">
        <v>5.54E-8</v>
      </c>
      <c r="R578" s="175" t="str">
        <f>IF(OR('Inventaire M-1'!D330="Dispo/Liquidité Investie",'Inventaire M-1'!D330="Option/Future",'Inventaire M-1'!D330="TCN",'Inventaire M-1'!D330=""),"-",'Inventaire M-1'!A330)</f>
        <v>-</v>
      </c>
      <c r="S578" s="175" t="str">
        <f>IF(OR('Inventaire M-1'!D330="Dispo/Liquidité Investie",'Inventaire M-1'!D330="Option/Future",'Inventaire M-1'!D330="TCN",'Inventaire M-1'!D330=""),"-",'Inventaire M-1'!B330)</f>
        <v>-</v>
      </c>
      <c r="T578" s="175"/>
      <c r="U578" s="175" t="str">
        <f>IF(R578="-","",INDEX('Inventaire M-1'!$A$2:$AG$9334,MATCH(R578,'Inventaire M-1'!$A:$A,0)-1,MATCH("Cours EUR",'Inventaire M-1'!#REF!,0)))</f>
        <v/>
      </c>
      <c r="V578" s="175" t="str">
        <f>IF(R578="-","",IF(ISERROR(INDEX('Inventaire M'!$A$2:$AD$9319,MATCH(R578,'Inventaire M'!$A:$A,0)-1,MATCH("Cours EUR",'Inventaire M'!#REF!,0))),"Sell",INDEX('Inventaire M'!$A$2:$AD$9319,MATCH(R578,'Inventaire M'!$A:$A,0)-1,MATCH("Cours EUR",'Inventaire M'!#REF!,0))))</f>
        <v/>
      </c>
      <c r="W578" s="175"/>
      <c r="X578" s="156" t="str">
        <f>IF(R578="-","",INDEX('Inventaire M-1'!$A$2:$AG$9334,MATCH(R578,'Inventaire M-1'!$A:$A,0)-1,MATCH("quantite",'Inventaire M-1'!#REF!,0)))</f>
        <v/>
      </c>
      <c r="Y578" s="156" t="str">
        <f>IF(S578="-","",IF(ISERROR(INDEX('Inventaire M'!$A$2:$AD$9319,MATCH(R578,'Inventaire M'!$A:$A,0)-1,MATCH("quantite",'Inventaire M'!#REF!,0))),"Sell",INDEX('Inventaire M'!$A$2:$AD$9319,MATCH(R578,'Inventaire M'!$A:$A,0)-1,MATCH("quantite",'Inventaire M'!#REF!,0))))</f>
        <v/>
      </c>
      <c r="Z578" s="175"/>
      <c r="AA578" s="155" t="str">
        <f>IF(R578="-","",INDEX('Inventaire M-1'!$A$2:$AG$9334,MATCH(R578,'Inventaire M-1'!$A:$A,0)-1,MATCH("poids",'Inventaire M-1'!#REF!,0)))</f>
        <v/>
      </c>
      <c r="AB578" s="155" t="str">
        <f>IF(R578="-","",IF(ISERROR(INDEX('Inventaire M'!$A$2:$AD$9319,MATCH(R578,'Inventaire M'!$A:$A,0)-1,MATCH("poids",'Inventaire M'!#REF!,0))),"Sell",INDEX('Inventaire M'!$A$2:$AD$9319,MATCH(R578,'Inventaire M'!$A:$A,0)-1,MATCH("poids",'Inventaire M'!#REF!,0))))</f>
        <v/>
      </c>
      <c r="AC578" s="175"/>
      <c r="AD578" s="157" t="str">
        <f t="shared" si="63"/>
        <v>0</v>
      </c>
      <c r="AE578" s="98" t="str">
        <f t="shared" si="64"/>
        <v/>
      </c>
      <c r="AF578" s="80" t="str">
        <f t="shared" si="65"/>
        <v>-</v>
      </c>
    </row>
    <row r="579" spans="2:32" outlineLevel="1">
      <c r="B579" s="175" t="str">
        <f>IF(OR('Inventaire M'!D352="Dispo/Liquidité Investie",'Inventaire M'!D352="Option/Future",'Inventaire M'!D352="TCN",'Inventaire M'!D352=""),"-",'Inventaire M'!A352)</f>
        <v>-</v>
      </c>
      <c r="C579" s="175" t="str">
        <f>IF(OR('Inventaire M'!D352="Dispo/Liquidité Investie",'Inventaire M'!D352="Option/Future",'Inventaire M'!D352="TCN",'Inventaire M'!D352=""),"-",'Inventaire M'!B352)</f>
        <v>-</v>
      </c>
      <c r="D579" s="175"/>
      <c r="E579" s="175" t="str">
        <f>IF(B579="-","",INDEX('Inventaire M'!$A$2:$AW$9305,MATCH(B579,'Inventaire M'!$A:$A,0)-1,MATCH("Cours EUR",'Inventaire M'!#REF!,0)))</f>
        <v/>
      </c>
      <c r="F579" s="175" t="str">
        <f>IF(B579="-","",IF(ISERROR(INDEX('Inventaire M-1'!$A$2:$AZ$9320,MATCH(B579,'Inventaire M-1'!$A:$A,0)-1,MATCH("Cours EUR",'Inventaire M-1'!#REF!,0))),"Buy",INDEX('Inventaire M-1'!$A$2:$AZ$9320,MATCH(B579,'Inventaire M-1'!$A:$A,0)-1,MATCH("Cours EUR",'Inventaire M-1'!#REF!,0))))</f>
        <v/>
      </c>
      <c r="G579" s="175"/>
      <c r="H579" s="156" t="str">
        <f>IF(B579="-","",INDEX('Inventaire M'!$A$2:$AW$9305,MATCH(B579,'Inventaire M'!$A:$A,0)-1,MATCH("quantite",'Inventaire M'!#REF!,0)))</f>
        <v/>
      </c>
      <c r="I579" s="156" t="str">
        <f>IF(C579="-","",IF(ISERROR(INDEX('Inventaire M-1'!$A$2:$AZ$9320,MATCH(B579,'Inventaire M-1'!$A:$A,0)-1,MATCH("quantite",'Inventaire M-1'!#REF!,0))),"Buy",INDEX('Inventaire M-1'!$A$2:$AZ$9320,MATCH(B579,'Inventaire M-1'!$A:$A,0)-1,MATCH("quantite",'Inventaire M-1'!#REF!,0))))</f>
        <v/>
      </c>
      <c r="J579" s="175"/>
      <c r="K579" s="155" t="str">
        <f>IF(B579="-","",INDEX('Inventaire M'!$A$2:$AW$9305,MATCH(B579,'Inventaire M'!$A:$A,0)-1,MATCH("poids",'Inventaire M'!#REF!,0)))</f>
        <v/>
      </c>
      <c r="L579" s="155" t="str">
        <f>IF(B579="-","",IF(ISERROR(INDEX('Inventaire M-1'!$A$2:$AZ$9320,MATCH(B579,'Inventaire M-1'!$A:$A,0)-1,MATCH("poids",'Inventaire M-1'!#REF!,0))),"Buy",INDEX('Inventaire M-1'!$A$2:$AZ$9320,MATCH(B579,'Inventaire M-1'!$A:$A,0)-1,MATCH("poids",'Inventaire M-1'!#REF!,0))))</f>
        <v/>
      </c>
      <c r="M579" s="175"/>
      <c r="N579" s="157" t="str">
        <f t="shared" si="61"/>
        <v>0</v>
      </c>
      <c r="O579" s="98" t="str">
        <f t="shared" si="60"/>
        <v/>
      </c>
      <c r="P579" s="80" t="str">
        <f t="shared" si="62"/>
        <v>-</v>
      </c>
      <c r="Q579" s="75">
        <v>5.5500000000000001E-8</v>
      </c>
      <c r="R579" s="175" t="str">
        <f>IF(OR('Inventaire M-1'!D331="Dispo/Liquidité Investie",'Inventaire M-1'!D331="Option/Future",'Inventaire M-1'!D331="TCN",'Inventaire M-1'!D331=""),"-",'Inventaire M-1'!A331)</f>
        <v>-</v>
      </c>
      <c r="S579" s="175" t="str">
        <f>IF(OR('Inventaire M-1'!D331="Dispo/Liquidité Investie",'Inventaire M-1'!D331="Option/Future",'Inventaire M-1'!D331="TCN",'Inventaire M-1'!D331=""),"-",'Inventaire M-1'!B331)</f>
        <v>-</v>
      </c>
      <c r="T579" s="175"/>
      <c r="U579" s="175" t="str">
        <f>IF(R579="-","",INDEX('Inventaire M-1'!$A$2:$AG$9334,MATCH(R579,'Inventaire M-1'!$A:$A,0)-1,MATCH("Cours EUR",'Inventaire M-1'!#REF!,0)))</f>
        <v/>
      </c>
      <c r="V579" s="175" t="str">
        <f>IF(R579="-","",IF(ISERROR(INDEX('Inventaire M'!$A$2:$AD$9319,MATCH(R579,'Inventaire M'!$A:$A,0)-1,MATCH("Cours EUR",'Inventaire M'!#REF!,0))),"Sell",INDEX('Inventaire M'!$A$2:$AD$9319,MATCH(R579,'Inventaire M'!$A:$A,0)-1,MATCH("Cours EUR",'Inventaire M'!#REF!,0))))</f>
        <v/>
      </c>
      <c r="W579" s="175"/>
      <c r="X579" s="156" t="str">
        <f>IF(R579="-","",INDEX('Inventaire M-1'!$A$2:$AG$9334,MATCH(R579,'Inventaire M-1'!$A:$A,0)-1,MATCH("quantite",'Inventaire M-1'!#REF!,0)))</f>
        <v/>
      </c>
      <c r="Y579" s="156" t="str">
        <f>IF(S579="-","",IF(ISERROR(INDEX('Inventaire M'!$A$2:$AD$9319,MATCH(R579,'Inventaire M'!$A:$A,0)-1,MATCH("quantite",'Inventaire M'!#REF!,0))),"Sell",INDEX('Inventaire M'!$A$2:$AD$9319,MATCH(R579,'Inventaire M'!$A:$A,0)-1,MATCH("quantite",'Inventaire M'!#REF!,0))))</f>
        <v/>
      </c>
      <c r="Z579" s="175"/>
      <c r="AA579" s="155" t="str">
        <f>IF(R579="-","",INDEX('Inventaire M-1'!$A$2:$AG$9334,MATCH(R579,'Inventaire M-1'!$A:$A,0)-1,MATCH("poids",'Inventaire M-1'!#REF!,0)))</f>
        <v/>
      </c>
      <c r="AB579" s="155" t="str">
        <f>IF(R579="-","",IF(ISERROR(INDEX('Inventaire M'!$A$2:$AD$9319,MATCH(R579,'Inventaire M'!$A:$A,0)-1,MATCH("poids",'Inventaire M'!#REF!,0))),"Sell",INDEX('Inventaire M'!$A$2:$AD$9319,MATCH(R579,'Inventaire M'!$A:$A,0)-1,MATCH("poids",'Inventaire M'!#REF!,0))))</f>
        <v/>
      </c>
      <c r="AC579" s="175"/>
      <c r="AD579" s="157" t="str">
        <f t="shared" si="63"/>
        <v>0</v>
      </c>
      <c r="AE579" s="98" t="str">
        <f t="shared" si="64"/>
        <v/>
      </c>
      <c r="AF579" s="80" t="str">
        <f t="shared" si="65"/>
        <v>-</v>
      </c>
    </row>
    <row r="580" spans="2:32" outlineLevel="1">
      <c r="B580" s="175" t="str">
        <f>IF(OR('Inventaire M'!D353="Dispo/Liquidité Investie",'Inventaire M'!D353="Option/Future",'Inventaire M'!D353="TCN",'Inventaire M'!D353=""),"-",'Inventaire M'!A353)</f>
        <v>-</v>
      </c>
      <c r="C580" s="175" t="str">
        <f>IF(OR('Inventaire M'!D353="Dispo/Liquidité Investie",'Inventaire M'!D353="Option/Future",'Inventaire M'!D353="TCN",'Inventaire M'!D353=""),"-",'Inventaire M'!B353)</f>
        <v>-</v>
      </c>
      <c r="D580" s="175"/>
      <c r="E580" s="175" t="str">
        <f>IF(B580="-","",INDEX('Inventaire M'!$A$2:$AW$9305,MATCH(B580,'Inventaire M'!$A:$A,0)-1,MATCH("Cours EUR",'Inventaire M'!#REF!,0)))</f>
        <v/>
      </c>
      <c r="F580" s="175" t="str">
        <f>IF(B580="-","",IF(ISERROR(INDEX('Inventaire M-1'!$A$2:$AZ$9320,MATCH(B580,'Inventaire M-1'!$A:$A,0)-1,MATCH("Cours EUR",'Inventaire M-1'!#REF!,0))),"Buy",INDEX('Inventaire M-1'!$A$2:$AZ$9320,MATCH(B580,'Inventaire M-1'!$A:$A,0)-1,MATCH("Cours EUR",'Inventaire M-1'!#REF!,0))))</f>
        <v/>
      </c>
      <c r="G580" s="175"/>
      <c r="H580" s="156" t="str">
        <f>IF(B580="-","",INDEX('Inventaire M'!$A$2:$AW$9305,MATCH(B580,'Inventaire M'!$A:$A,0)-1,MATCH("quantite",'Inventaire M'!#REF!,0)))</f>
        <v/>
      </c>
      <c r="I580" s="156" t="str">
        <f>IF(C580="-","",IF(ISERROR(INDEX('Inventaire M-1'!$A$2:$AZ$9320,MATCH(B580,'Inventaire M-1'!$A:$A,0)-1,MATCH("quantite",'Inventaire M-1'!#REF!,0))),"Buy",INDEX('Inventaire M-1'!$A$2:$AZ$9320,MATCH(B580,'Inventaire M-1'!$A:$A,0)-1,MATCH("quantite",'Inventaire M-1'!#REF!,0))))</f>
        <v/>
      </c>
      <c r="J580" s="175"/>
      <c r="K580" s="155" t="str">
        <f>IF(B580="-","",INDEX('Inventaire M'!$A$2:$AW$9305,MATCH(B580,'Inventaire M'!$A:$A,0)-1,MATCH("poids",'Inventaire M'!#REF!,0)))</f>
        <v/>
      </c>
      <c r="L580" s="155" t="str">
        <f>IF(B580="-","",IF(ISERROR(INDEX('Inventaire M-1'!$A$2:$AZ$9320,MATCH(B580,'Inventaire M-1'!$A:$A,0)-1,MATCH("poids",'Inventaire M-1'!#REF!,0))),"Buy",INDEX('Inventaire M-1'!$A$2:$AZ$9320,MATCH(B580,'Inventaire M-1'!$A:$A,0)-1,MATCH("poids",'Inventaire M-1'!#REF!,0))))</f>
        <v/>
      </c>
      <c r="M580" s="175"/>
      <c r="N580" s="157" t="str">
        <f t="shared" si="61"/>
        <v>0</v>
      </c>
      <c r="O580" s="98" t="str">
        <f t="shared" si="60"/>
        <v/>
      </c>
      <c r="P580" s="80" t="str">
        <f t="shared" si="62"/>
        <v>-</v>
      </c>
      <c r="Q580" s="75">
        <v>5.5600000000000002E-8</v>
      </c>
      <c r="R580" s="175" t="str">
        <f>IF(OR('Inventaire M-1'!D332="Dispo/Liquidité Investie",'Inventaire M-1'!D332="Option/Future",'Inventaire M-1'!D332="TCN",'Inventaire M-1'!D332=""),"-",'Inventaire M-1'!A332)</f>
        <v>-</v>
      </c>
      <c r="S580" s="175" t="str">
        <f>IF(OR('Inventaire M-1'!D332="Dispo/Liquidité Investie",'Inventaire M-1'!D332="Option/Future",'Inventaire M-1'!D332="TCN",'Inventaire M-1'!D332=""),"-",'Inventaire M-1'!B332)</f>
        <v>-</v>
      </c>
      <c r="T580" s="175"/>
      <c r="U580" s="175" t="str">
        <f>IF(R580="-","",INDEX('Inventaire M-1'!$A$2:$AG$9334,MATCH(R580,'Inventaire M-1'!$A:$A,0)-1,MATCH("Cours EUR",'Inventaire M-1'!#REF!,0)))</f>
        <v/>
      </c>
      <c r="V580" s="175" t="str">
        <f>IF(R580="-","",IF(ISERROR(INDEX('Inventaire M'!$A$2:$AD$9319,MATCH(R580,'Inventaire M'!$A:$A,0)-1,MATCH("Cours EUR",'Inventaire M'!#REF!,0))),"Sell",INDEX('Inventaire M'!$A$2:$AD$9319,MATCH(R580,'Inventaire M'!$A:$A,0)-1,MATCH("Cours EUR",'Inventaire M'!#REF!,0))))</f>
        <v/>
      </c>
      <c r="W580" s="175"/>
      <c r="X580" s="156" t="str">
        <f>IF(R580="-","",INDEX('Inventaire M-1'!$A$2:$AG$9334,MATCH(R580,'Inventaire M-1'!$A:$A,0)-1,MATCH("quantite",'Inventaire M-1'!#REF!,0)))</f>
        <v/>
      </c>
      <c r="Y580" s="156" t="str">
        <f>IF(S580="-","",IF(ISERROR(INDEX('Inventaire M'!$A$2:$AD$9319,MATCH(R580,'Inventaire M'!$A:$A,0)-1,MATCH("quantite",'Inventaire M'!#REF!,0))),"Sell",INDEX('Inventaire M'!$A$2:$AD$9319,MATCH(R580,'Inventaire M'!$A:$A,0)-1,MATCH("quantite",'Inventaire M'!#REF!,0))))</f>
        <v/>
      </c>
      <c r="Z580" s="175"/>
      <c r="AA580" s="155" t="str">
        <f>IF(R580="-","",INDEX('Inventaire M-1'!$A$2:$AG$9334,MATCH(R580,'Inventaire M-1'!$A:$A,0)-1,MATCH("poids",'Inventaire M-1'!#REF!,0)))</f>
        <v/>
      </c>
      <c r="AB580" s="155" t="str">
        <f>IF(R580="-","",IF(ISERROR(INDEX('Inventaire M'!$A$2:$AD$9319,MATCH(R580,'Inventaire M'!$A:$A,0)-1,MATCH("poids",'Inventaire M'!#REF!,0))),"Sell",INDEX('Inventaire M'!$A$2:$AD$9319,MATCH(R580,'Inventaire M'!$A:$A,0)-1,MATCH("poids",'Inventaire M'!#REF!,0))))</f>
        <v/>
      </c>
      <c r="AC580" s="175"/>
      <c r="AD580" s="157" t="str">
        <f t="shared" si="63"/>
        <v>0</v>
      </c>
      <c r="AE580" s="98" t="str">
        <f t="shared" si="64"/>
        <v/>
      </c>
      <c r="AF580" s="80" t="str">
        <f t="shared" si="65"/>
        <v>-</v>
      </c>
    </row>
    <row r="581" spans="2:32" outlineLevel="1">
      <c r="B581" s="175" t="str">
        <f>IF(OR('Inventaire M'!D354="Dispo/Liquidité Investie",'Inventaire M'!D354="Option/Future",'Inventaire M'!D354="TCN",'Inventaire M'!D354=""),"-",'Inventaire M'!A354)</f>
        <v>-</v>
      </c>
      <c r="C581" s="175" t="str">
        <f>IF(OR('Inventaire M'!D354="Dispo/Liquidité Investie",'Inventaire M'!D354="Option/Future",'Inventaire M'!D354="TCN",'Inventaire M'!D354=""),"-",'Inventaire M'!B354)</f>
        <v>-</v>
      </c>
      <c r="D581" s="175"/>
      <c r="E581" s="175" t="str">
        <f>IF(B581="-","",INDEX('Inventaire M'!$A$2:$AW$9305,MATCH(B581,'Inventaire M'!$A:$A,0)-1,MATCH("Cours EUR",'Inventaire M'!#REF!,0)))</f>
        <v/>
      </c>
      <c r="F581" s="175" t="str">
        <f>IF(B581="-","",IF(ISERROR(INDEX('Inventaire M-1'!$A$2:$AZ$9320,MATCH(B581,'Inventaire M-1'!$A:$A,0)-1,MATCH("Cours EUR",'Inventaire M-1'!#REF!,0))),"Buy",INDEX('Inventaire M-1'!$A$2:$AZ$9320,MATCH(B581,'Inventaire M-1'!$A:$A,0)-1,MATCH("Cours EUR",'Inventaire M-1'!#REF!,0))))</f>
        <v/>
      </c>
      <c r="G581" s="175"/>
      <c r="H581" s="156" t="str">
        <f>IF(B581="-","",INDEX('Inventaire M'!$A$2:$AW$9305,MATCH(B581,'Inventaire M'!$A:$A,0)-1,MATCH("quantite",'Inventaire M'!#REF!,0)))</f>
        <v/>
      </c>
      <c r="I581" s="156" t="str">
        <f>IF(C581="-","",IF(ISERROR(INDEX('Inventaire M-1'!$A$2:$AZ$9320,MATCH(B581,'Inventaire M-1'!$A:$A,0)-1,MATCH("quantite",'Inventaire M-1'!#REF!,0))),"Buy",INDEX('Inventaire M-1'!$A$2:$AZ$9320,MATCH(B581,'Inventaire M-1'!$A:$A,0)-1,MATCH("quantite",'Inventaire M-1'!#REF!,0))))</f>
        <v/>
      </c>
      <c r="J581" s="175"/>
      <c r="K581" s="155" t="str">
        <f>IF(B581="-","",INDEX('Inventaire M'!$A$2:$AW$9305,MATCH(B581,'Inventaire M'!$A:$A,0)-1,MATCH("poids",'Inventaire M'!#REF!,0)))</f>
        <v/>
      </c>
      <c r="L581" s="155" t="str">
        <f>IF(B581="-","",IF(ISERROR(INDEX('Inventaire M-1'!$A$2:$AZ$9320,MATCH(B581,'Inventaire M-1'!$A:$A,0)-1,MATCH("poids",'Inventaire M-1'!#REF!,0))),"Buy",INDEX('Inventaire M-1'!$A$2:$AZ$9320,MATCH(B581,'Inventaire M-1'!$A:$A,0)-1,MATCH("poids",'Inventaire M-1'!#REF!,0))))</f>
        <v/>
      </c>
      <c r="M581" s="175"/>
      <c r="N581" s="157" t="str">
        <f t="shared" si="61"/>
        <v>0</v>
      </c>
      <c r="O581" s="98" t="str">
        <f t="shared" si="60"/>
        <v/>
      </c>
      <c r="P581" s="80" t="str">
        <f t="shared" si="62"/>
        <v>-</v>
      </c>
      <c r="Q581" s="75">
        <v>5.5700000000000002E-8</v>
      </c>
      <c r="R581" s="175" t="str">
        <f>IF(OR('Inventaire M-1'!D333="Dispo/Liquidité Investie",'Inventaire M-1'!D333="Option/Future",'Inventaire M-1'!D333="TCN",'Inventaire M-1'!D333=""),"-",'Inventaire M-1'!A333)</f>
        <v>-</v>
      </c>
      <c r="S581" s="175" t="str">
        <f>IF(OR('Inventaire M-1'!D333="Dispo/Liquidité Investie",'Inventaire M-1'!D333="Option/Future",'Inventaire M-1'!D333="TCN",'Inventaire M-1'!D333=""),"-",'Inventaire M-1'!B333)</f>
        <v>-</v>
      </c>
      <c r="T581" s="175"/>
      <c r="U581" s="175" t="str">
        <f>IF(R581="-","",INDEX('Inventaire M-1'!$A$2:$AG$9334,MATCH(R581,'Inventaire M-1'!$A:$A,0)-1,MATCH("Cours EUR",'Inventaire M-1'!#REF!,0)))</f>
        <v/>
      </c>
      <c r="V581" s="175" t="str">
        <f>IF(R581="-","",IF(ISERROR(INDEX('Inventaire M'!$A$2:$AD$9319,MATCH(R581,'Inventaire M'!$A:$A,0)-1,MATCH("Cours EUR",'Inventaire M'!#REF!,0))),"Sell",INDEX('Inventaire M'!$A$2:$AD$9319,MATCH(R581,'Inventaire M'!$A:$A,0)-1,MATCH("Cours EUR",'Inventaire M'!#REF!,0))))</f>
        <v/>
      </c>
      <c r="W581" s="175"/>
      <c r="X581" s="156" t="str">
        <f>IF(R581="-","",INDEX('Inventaire M-1'!$A$2:$AG$9334,MATCH(R581,'Inventaire M-1'!$A:$A,0)-1,MATCH("quantite",'Inventaire M-1'!#REF!,0)))</f>
        <v/>
      </c>
      <c r="Y581" s="156" t="str">
        <f>IF(S581="-","",IF(ISERROR(INDEX('Inventaire M'!$A$2:$AD$9319,MATCH(R581,'Inventaire M'!$A:$A,0)-1,MATCH("quantite",'Inventaire M'!#REF!,0))),"Sell",INDEX('Inventaire M'!$A$2:$AD$9319,MATCH(R581,'Inventaire M'!$A:$A,0)-1,MATCH("quantite",'Inventaire M'!#REF!,0))))</f>
        <v/>
      </c>
      <c r="Z581" s="175"/>
      <c r="AA581" s="155" t="str">
        <f>IF(R581="-","",INDEX('Inventaire M-1'!$A$2:$AG$9334,MATCH(R581,'Inventaire M-1'!$A:$A,0)-1,MATCH("poids",'Inventaire M-1'!#REF!,0)))</f>
        <v/>
      </c>
      <c r="AB581" s="155" t="str">
        <f>IF(R581="-","",IF(ISERROR(INDEX('Inventaire M'!$A$2:$AD$9319,MATCH(R581,'Inventaire M'!$A:$A,0)-1,MATCH("poids",'Inventaire M'!#REF!,0))),"Sell",INDEX('Inventaire M'!$A$2:$AD$9319,MATCH(R581,'Inventaire M'!$A:$A,0)-1,MATCH("poids",'Inventaire M'!#REF!,0))))</f>
        <v/>
      </c>
      <c r="AC581" s="175"/>
      <c r="AD581" s="157" t="str">
        <f t="shared" si="63"/>
        <v>0</v>
      </c>
      <c r="AE581" s="98" t="str">
        <f t="shared" si="64"/>
        <v/>
      </c>
      <c r="AF581" s="80" t="str">
        <f t="shared" si="65"/>
        <v>-</v>
      </c>
    </row>
    <row r="582" spans="2:32" outlineLevel="1">
      <c r="B582" s="175" t="str">
        <f>IF(OR('Inventaire M'!D355="Dispo/Liquidité Investie",'Inventaire M'!D355="Option/Future",'Inventaire M'!D355="TCN",'Inventaire M'!D355=""),"-",'Inventaire M'!A355)</f>
        <v>-</v>
      </c>
      <c r="C582" s="175" t="str">
        <f>IF(OR('Inventaire M'!D355="Dispo/Liquidité Investie",'Inventaire M'!D355="Option/Future",'Inventaire M'!D355="TCN",'Inventaire M'!D355=""),"-",'Inventaire M'!B355)</f>
        <v>-</v>
      </c>
      <c r="D582" s="175"/>
      <c r="E582" s="175" t="str">
        <f>IF(B582="-","",INDEX('Inventaire M'!$A$2:$AW$9305,MATCH(B582,'Inventaire M'!$A:$A,0)-1,MATCH("Cours EUR",'Inventaire M'!#REF!,0)))</f>
        <v/>
      </c>
      <c r="F582" s="175" t="str">
        <f>IF(B582="-","",IF(ISERROR(INDEX('Inventaire M-1'!$A$2:$AZ$9320,MATCH(B582,'Inventaire M-1'!$A:$A,0)-1,MATCH("Cours EUR",'Inventaire M-1'!#REF!,0))),"Buy",INDEX('Inventaire M-1'!$A$2:$AZ$9320,MATCH(B582,'Inventaire M-1'!$A:$A,0)-1,MATCH("Cours EUR",'Inventaire M-1'!#REF!,0))))</f>
        <v/>
      </c>
      <c r="G582" s="175"/>
      <c r="H582" s="156" t="str">
        <f>IF(B582="-","",INDEX('Inventaire M'!$A$2:$AW$9305,MATCH(B582,'Inventaire M'!$A:$A,0)-1,MATCH("quantite",'Inventaire M'!#REF!,0)))</f>
        <v/>
      </c>
      <c r="I582" s="156" t="str">
        <f>IF(C582="-","",IF(ISERROR(INDEX('Inventaire M-1'!$A$2:$AZ$9320,MATCH(B582,'Inventaire M-1'!$A:$A,0)-1,MATCH("quantite",'Inventaire M-1'!#REF!,0))),"Buy",INDEX('Inventaire M-1'!$A$2:$AZ$9320,MATCH(B582,'Inventaire M-1'!$A:$A,0)-1,MATCH("quantite",'Inventaire M-1'!#REF!,0))))</f>
        <v/>
      </c>
      <c r="J582" s="175"/>
      <c r="K582" s="155" t="str">
        <f>IF(B582="-","",INDEX('Inventaire M'!$A$2:$AW$9305,MATCH(B582,'Inventaire M'!$A:$A,0)-1,MATCH("poids",'Inventaire M'!#REF!,0)))</f>
        <v/>
      </c>
      <c r="L582" s="155" t="str">
        <f>IF(B582="-","",IF(ISERROR(INDEX('Inventaire M-1'!$A$2:$AZ$9320,MATCH(B582,'Inventaire M-1'!$A:$A,0)-1,MATCH("poids",'Inventaire M-1'!#REF!,0))),"Buy",INDEX('Inventaire M-1'!$A$2:$AZ$9320,MATCH(B582,'Inventaire M-1'!$A:$A,0)-1,MATCH("poids",'Inventaire M-1'!#REF!,0))))</f>
        <v/>
      </c>
      <c r="M582" s="175"/>
      <c r="N582" s="157" t="str">
        <f t="shared" si="61"/>
        <v>0</v>
      </c>
      <c r="O582" s="98" t="str">
        <f t="shared" si="60"/>
        <v/>
      </c>
      <c r="P582" s="80" t="str">
        <f t="shared" si="62"/>
        <v>-</v>
      </c>
      <c r="Q582" s="75">
        <v>5.5799999999999997E-8</v>
      </c>
      <c r="R582" s="175" t="str">
        <f>IF(OR('Inventaire M-1'!D334="Dispo/Liquidité Investie",'Inventaire M-1'!D334="Option/Future",'Inventaire M-1'!D334="TCN",'Inventaire M-1'!D334=""),"-",'Inventaire M-1'!A334)</f>
        <v>-</v>
      </c>
      <c r="S582" s="175" t="str">
        <f>IF(OR('Inventaire M-1'!D334="Dispo/Liquidité Investie",'Inventaire M-1'!D334="Option/Future",'Inventaire M-1'!D334="TCN",'Inventaire M-1'!D334=""),"-",'Inventaire M-1'!B334)</f>
        <v>-</v>
      </c>
      <c r="T582" s="175"/>
      <c r="U582" s="175" t="str">
        <f>IF(R582="-","",INDEX('Inventaire M-1'!$A$2:$AG$9334,MATCH(R582,'Inventaire M-1'!$A:$A,0)-1,MATCH("Cours EUR",'Inventaire M-1'!#REF!,0)))</f>
        <v/>
      </c>
      <c r="V582" s="175" t="str">
        <f>IF(R582="-","",IF(ISERROR(INDEX('Inventaire M'!$A$2:$AD$9319,MATCH(R582,'Inventaire M'!$A:$A,0)-1,MATCH("Cours EUR",'Inventaire M'!#REF!,0))),"Sell",INDEX('Inventaire M'!$A$2:$AD$9319,MATCH(R582,'Inventaire M'!$A:$A,0)-1,MATCH("Cours EUR",'Inventaire M'!#REF!,0))))</f>
        <v/>
      </c>
      <c r="W582" s="175"/>
      <c r="X582" s="156" t="str">
        <f>IF(R582="-","",INDEX('Inventaire M-1'!$A$2:$AG$9334,MATCH(R582,'Inventaire M-1'!$A:$A,0)-1,MATCH("quantite",'Inventaire M-1'!#REF!,0)))</f>
        <v/>
      </c>
      <c r="Y582" s="156" t="str">
        <f>IF(S582="-","",IF(ISERROR(INDEX('Inventaire M'!$A$2:$AD$9319,MATCH(R582,'Inventaire M'!$A:$A,0)-1,MATCH("quantite",'Inventaire M'!#REF!,0))),"Sell",INDEX('Inventaire M'!$A$2:$AD$9319,MATCH(R582,'Inventaire M'!$A:$A,0)-1,MATCH("quantite",'Inventaire M'!#REF!,0))))</f>
        <v/>
      </c>
      <c r="Z582" s="175"/>
      <c r="AA582" s="155" t="str">
        <f>IF(R582="-","",INDEX('Inventaire M-1'!$A$2:$AG$9334,MATCH(R582,'Inventaire M-1'!$A:$A,0)-1,MATCH("poids",'Inventaire M-1'!#REF!,0)))</f>
        <v/>
      </c>
      <c r="AB582" s="155" t="str">
        <f>IF(R582="-","",IF(ISERROR(INDEX('Inventaire M'!$A$2:$AD$9319,MATCH(R582,'Inventaire M'!$A:$A,0)-1,MATCH("poids",'Inventaire M'!#REF!,0))),"Sell",INDEX('Inventaire M'!$A$2:$AD$9319,MATCH(R582,'Inventaire M'!$A:$A,0)-1,MATCH("poids",'Inventaire M'!#REF!,0))))</f>
        <v/>
      </c>
      <c r="AC582" s="175"/>
      <c r="AD582" s="157" t="str">
        <f t="shared" si="63"/>
        <v>0</v>
      </c>
      <c r="AE582" s="98" t="str">
        <f t="shared" si="64"/>
        <v/>
      </c>
      <c r="AF582" s="80" t="str">
        <f t="shared" si="65"/>
        <v>-</v>
      </c>
    </row>
    <row r="583" spans="2:32" outlineLevel="1">
      <c r="B583" s="175" t="str">
        <f>IF(OR('Inventaire M'!D356="Dispo/Liquidité Investie",'Inventaire M'!D356="Option/Future",'Inventaire M'!D356="TCN",'Inventaire M'!D356=""),"-",'Inventaire M'!A356)</f>
        <v>-</v>
      </c>
      <c r="C583" s="175" t="str">
        <f>IF(OR('Inventaire M'!D356="Dispo/Liquidité Investie",'Inventaire M'!D356="Option/Future",'Inventaire M'!D356="TCN",'Inventaire M'!D356=""),"-",'Inventaire M'!B356)</f>
        <v>-</v>
      </c>
      <c r="D583" s="175"/>
      <c r="E583" s="175" t="str">
        <f>IF(B583="-","",INDEX('Inventaire M'!$A$2:$AW$9305,MATCH(B583,'Inventaire M'!$A:$A,0)-1,MATCH("Cours EUR",'Inventaire M'!#REF!,0)))</f>
        <v/>
      </c>
      <c r="F583" s="175" t="str">
        <f>IF(B583="-","",IF(ISERROR(INDEX('Inventaire M-1'!$A$2:$AZ$9320,MATCH(B583,'Inventaire M-1'!$A:$A,0)-1,MATCH("Cours EUR",'Inventaire M-1'!#REF!,0))),"Buy",INDEX('Inventaire M-1'!$A$2:$AZ$9320,MATCH(B583,'Inventaire M-1'!$A:$A,0)-1,MATCH("Cours EUR",'Inventaire M-1'!#REF!,0))))</f>
        <v/>
      </c>
      <c r="G583" s="175"/>
      <c r="H583" s="156" t="str">
        <f>IF(B583="-","",INDEX('Inventaire M'!$A$2:$AW$9305,MATCH(B583,'Inventaire M'!$A:$A,0)-1,MATCH("quantite",'Inventaire M'!#REF!,0)))</f>
        <v/>
      </c>
      <c r="I583" s="156" t="str">
        <f>IF(C583="-","",IF(ISERROR(INDEX('Inventaire M-1'!$A$2:$AZ$9320,MATCH(B583,'Inventaire M-1'!$A:$A,0)-1,MATCH("quantite",'Inventaire M-1'!#REF!,0))),"Buy",INDEX('Inventaire M-1'!$A$2:$AZ$9320,MATCH(B583,'Inventaire M-1'!$A:$A,0)-1,MATCH("quantite",'Inventaire M-1'!#REF!,0))))</f>
        <v/>
      </c>
      <c r="J583" s="175"/>
      <c r="K583" s="155" t="str">
        <f>IF(B583="-","",INDEX('Inventaire M'!$A$2:$AW$9305,MATCH(B583,'Inventaire M'!$A:$A,0)-1,MATCH("poids",'Inventaire M'!#REF!,0)))</f>
        <v/>
      </c>
      <c r="L583" s="155" t="str">
        <f>IF(B583="-","",IF(ISERROR(INDEX('Inventaire M-1'!$A$2:$AZ$9320,MATCH(B583,'Inventaire M-1'!$A:$A,0)-1,MATCH("poids",'Inventaire M-1'!#REF!,0))),"Buy",INDEX('Inventaire M-1'!$A$2:$AZ$9320,MATCH(B583,'Inventaire M-1'!$A:$A,0)-1,MATCH("poids",'Inventaire M-1'!#REF!,0))))</f>
        <v/>
      </c>
      <c r="M583" s="175"/>
      <c r="N583" s="157" t="str">
        <f t="shared" si="61"/>
        <v>0</v>
      </c>
      <c r="O583" s="98" t="str">
        <f t="shared" si="60"/>
        <v/>
      </c>
      <c r="P583" s="80" t="str">
        <f t="shared" si="62"/>
        <v>-</v>
      </c>
      <c r="Q583" s="75">
        <v>5.5899999999999998E-8</v>
      </c>
      <c r="R583" s="175" t="str">
        <f>IF(OR('Inventaire M-1'!D335="Dispo/Liquidité Investie",'Inventaire M-1'!D335="Option/Future",'Inventaire M-1'!D335="TCN",'Inventaire M-1'!D335=""),"-",'Inventaire M-1'!A335)</f>
        <v>-</v>
      </c>
      <c r="S583" s="175" t="str">
        <f>IF(OR('Inventaire M-1'!D335="Dispo/Liquidité Investie",'Inventaire M-1'!D335="Option/Future",'Inventaire M-1'!D335="TCN",'Inventaire M-1'!D335=""),"-",'Inventaire M-1'!B335)</f>
        <v>-</v>
      </c>
      <c r="T583" s="175"/>
      <c r="U583" s="175" t="str">
        <f>IF(R583="-","",INDEX('Inventaire M-1'!$A$2:$AG$9334,MATCH(R583,'Inventaire M-1'!$A:$A,0)-1,MATCH("Cours EUR",'Inventaire M-1'!#REF!,0)))</f>
        <v/>
      </c>
      <c r="V583" s="175" t="str">
        <f>IF(R583="-","",IF(ISERROR(INDEX('Inventaire M'!$A$2:$AD$9319,MATCH(R583,'Inventaire M'!$A:$A,0)-1,MATCH("Cours EUR",'Inventaire M'!#REF!,0))),"Sell",INDEX('Inventaire M'!$A$2:$AD$9319,MATCH(R583,'Inventaire M'!$A:$A,0)-1,MATCH("Cours EUR",'Inventaire M'!#REF!,0))))</f>
        <v/>
      </c>
      <c r="W583" s="175"/>
      <c r="X583" s="156" t="str">
        <f>IF(R583="-","",INDEX('Inventaire M-1'!$A$2:$AG$9334,MATCH(R583,'Inventaire M-1'!$A:$A,0)-1,MATCH("quantite",'Inventaire M-1'!#REF!,0)))</f>
        <v/>
      </c>
      <c r="Y583" s="156" t="str">
        <f>IF(S583="-","",IF(ISERROR(INDEX('Inventaire M'!$A$2:$AD$9319,MATCH(R583,'Inventaire M'!$A:$A,0)-1,MATCH("quantite",'Inventaire M'!#REF!,0))),"Sell",INDEX('Inventaire M'!$A$2:$AD$9319,MATCH(R583,'Inventaire M'!$A:$A,0)-1,MATCH("quantite",'Inventaire M'!#REF!,0))))</f>
        <v/>
      </c>
      <c r="Z583" s="175"/>
      <c r="AA583" s="155" t="str">
        <f>IF(R583="-","",INDEX('Inventaire M-1'!$A$2:$AG$9334,MATCH(R583,'Inventaire M-1'!$A:$A,0)-1,MATCH("poids",'Inventaire M-1'!#REF!,0)))</f>
        <v/>
      </c>
      <c r="AB583" s="155" t="str">
        <f>IF(R583="-","",IF(ISERROR(INDEX('Inventaire M'!$A$2:$AD$9319,MATCH(R583,'Inventaire M'!$A:$A,0)-1,MATCH("poids",'Inventaire M'!#REF!,0))),"Sell",INDEX('Inventaire M'!$A$2:$AD$9319,MATCH(R583,'Inventaire M'!$A:$A,0)-1,MATCH("poids",'Inventaire M'!#REF!,0))))</f>
        <v/>
      </c>
      <c r="AC583" s="175"/>
      <c r="AD583" s="157" t="str">
        <f t="shared" si="63"/>
        <v>0</v>
      </c>
      <c r="AE583" s="98" t="str">
        <f t="shared" si="64"/>
        <v/>
      </c>
      <c r="AF583" s="80" t="str">
        <f t="shared" si="65"/>
        <v>-</v>
      </c>
    </row>
    <row r="584" spans="2:32" outlineLevel="1">
      <c r="B584" s="175" t="str">
        <f>IF(OR('Inventaire M'!D357="Dispo/Liquidité Investie",'Inventaire M'!D357="Option/Future",'Inventaire M'!D357="TCN",'Inventaire M'!D357=""),"-",'Inventaire M'!A357)</f>
        <v>-</v>
      </c>
      <c r="C584" s="175" t="str">
        <f>IF(OR('Inventaire M'!D357="Dispo/Liquidité Investie",'Inventaire M'!D357="Option/Future",'Inventaire M'!D357="TCN",'Inventaire M'!D357=""),"-",'Inventaire M'!B357)</f>
        <v>-</v>
      </c>
      <c r="D584" s="175"/>
      <c r="E584" s="175" t="str">
        <f>IF(B584="-","",INDEX('Inventaire M'!$A$2:$AW$9305,MATCH(B584,'Inventaire M'!$A:$A,0)-1,MATCH("Cours EUR",'Inventaire M'!#REF!,0)))</f>
        <v/>
      </c>
      <c r="F584" s="175" t="str">
        <f>IF(B584="-","",IF(ISERROR(INDEX('Inventaire M-1'!$A$2:$AZ$9320,MATCH(B584,'Inventaire M-1'!$A:$A,0)-1,MATCH("Cours EUR",'Inventaire M-1'!#REF!,0))),"Buy",INDEX('Inventaire M-1'!$A$2:$AZ$9320,MATCH(B584,'Inventaire M-1'!$A:$A,0)-1,MATCH("Cours EUR",'Inventaire M-1'!#REF!,0))))</f>
        <v/>
      </c>
      <c r="G584" s="175"/>
      <c r="H584" s="156" t="str">
        <f>IF(B584="-","",INDEX('Inventaire M'!$A$2:$AW$9305,MATCH(B584,'Inventaire M'!$A:$A,0)-1,MATCH("quantite",'Inventaire M'!#REF!,0)))</f>
        <v/>
      </c>
      <c r="I584" s="156" t="str">
        <f>IF(C584="-","",IF(ISERROR(INDEX('Inventaire M-1'!$A$2:$AZ$9320,MATCH(B584,'Inventaire M-1'!$A:$A,0)-1,MATCH("quantite",'Inventaire M-1'!#REF!,0))),"Buy",INDEX('Inventaire M-1'!$A$2:$AZ$9320,MATCH(B584,'Inventaire M-1'!$A:$A,0)-1,MATCH("quantite",'Inventaire M-1'!#REF!,0))))</f>
        <v/>
      </c>
      <c r="J584" s="175"/>
      <c r="K584" s="155" t="str">
        <f>IF(B584="-","",INDEX('Inventaire M'!$A$2:$AW$9305,MATCH(B584,'Inventaire M'!$A:$A,0)-1,MATCH("poids",'Inventaire M'!#REF!,0)))</f>
        <v/>
      </c>
      <c r="L584" s="155" t="str">
        <f>IF(B584="-","",IF(ISERROR(INDEX('Inventaire M-1'!$A$2:$AZ$9320,MATCH(B584,'Inventaire M-1'!$A:$A,0)-1,MATCH("poids",'Inventaire M-1'!#REF!,0))),"Buy",INDEX('Inventaire M-1'!$A$2:$AZ$9320,MATCH(B584,'Inventaire M-1'!$A:$A,0)-1,MATCH("poids",'Inventaire M-1'!#REF!,0))))</f>
        <v/>
      </c>
      <c r="M584" s="175"/>
      <c r="N584" s="157" t="str">
        <f t="shared" si="61"/>
        <v>0</v>
      </c>
      <c r="O584" s="98" t="str">
        <f t="shared" si="60"/>
        <v/>
      </c>
      <c r="P584" s="80" t="str">
        <f t="shared" si="62"/>
        <v>-</v>
      </c>
      <c r="Q584" s="75">
        <v>5.5999999999999999E-8</v>
      </c>
      <c r="R584" s="175" t="str">
        <f>IF(OR('Inventaire M-1'!D336="Dispo/Liquidité Investie",'Inventaire M-1'!D336="Option/Future",'Inventaire M-1'!D336="TCN",'Inventaire M-1'!D336=""),"-",'Inventaire M-1'!A336)</f>
        <v>-</v>
      </c>
      <c r="S584" s="175" t="str">
        <f>IF(OR('Inventaire M-1'!D336="Dispo/Liquidité Investie",'Inventaire M-1'!D336="Option/Future",'Inventaire M-1'!D336="TCN",'Inventaire M-1'!D336=""),"-",'Inventaire M-1'!B336)</f>
        <v>-</v>
      </c>
      <c r="T584" s="175"/>
      <c r="U584" s="175" t="str">
        <f>IF(R584="-","",INDEX('Inventaire M-1'!$A$2:$AG$9334,MATCH(R584,'Inventaire M-1'!$A:$A,0)-1,MATCH("Cours EUR",'Inventaire M-1'!#REF!,0)))</f>
        <v/>
      </c>
      <c r="V584" s="175" t="str">
        <f>IF(R584="-","",IF(ISERROR(INDEX('Inventaire M'!$A$2:$AD$9319,MATCH(R584,'Inventaire M'!$A:$A,0)-1,MATCH("Cours EUR",'Inventaire M'!#REF!,0))),"Sell",INDEX('Inventaire M'!$A$2:$AD$9319,MATCH(R584,'Inventaire M'!$A:$A,0)-1,MATCH("Cours EUR",'Inventaire M'!#REF!,0))))</f>
        <v/>
      </c>
      <c r="W584" s="175"/>
      <c r="X584" s="156" t="str">
        <f>IF(R584="-","",INDEX('Inventaire M-1'!$A$2:$AG$9334,MATCH(R584,'Inventaire M-1'!$A:$A,0)-1,MATCH("quantite",'Inventaire M-1'!#REF!,0)))</f>
        <v/>
      </c>
      <c r="Y584" s="156" t="str">
        <f>IF(S584="-","",IF(ISERROR(INDEX('Inventaire M'!$A$2:$AD$9319,MATCH(R584,'Inventaire M'!$A:$A,0)-1,MATCH("quantite",'Inventaire M'!#REF!,0))),"Sell",INDEX('Inventaire M'!$A$2:$AD$9319,MATCH(R584,'Inventaire M'!$A:$A,0)-1,MATCH("quantite",'Inventaire M'!#REF!,0))))</f>
        <v/>
      </c>
      <c r="Z584" s="175"/>
      <c r="AA584" s="155" t="str">
        <f>IF(R584="-","",INDEX('Inventaire M-1'!$A$2:$AG$9334,MATCH(R584,'Inventaire M-1'!$A:$A,0)-1,MATCH("poids",'Inventaire M-1'!#REF!,0)))</f>
        <v/>
      </c>
      <c r="AB584" s="155" t="str">
        <f>IF(R584="-","",IF(ISERROR(INDEX('Inventaire M'!$A$2:$AD$9319,MATCH(R584,'Inventaire M'!$A:$A,0)-1,MATCH("poids",'Inventaire M'!#REF!,0))),"Sell",INDEX('Inventaire M'!$A$2:$AD$9319,MATCH(R584,'Inventaire M'!$A:$A,0)-1,MATCH("poids",'Inventaire M'!#REF!,0))))</f>
        <v/>
      </c>
      <c r="AC584" s="175"/>
      <c r="AD584" s="157" t="str">
        <f t="shared" si="63"/>
        <v>0</v>
      </c>
      <c r="AE584" s="98" t="str">
        <f t="shared" si="64"/>
        <v/>
      </c>
      <c r="AF584" s="80" t="str">
        <f t="shared" si="65"/>
        <v>-</v>
      </c>
    </row>
    <row r="585" spans="2:32" outlineLevel="1">
      <c r="B585" s="175" t="str">
        <f>IF(OR('Inventaire M'!D358="Dispo/Liquidité Investie",'Inventaire M'!D358="Option/Future",'Inventaire M'!D358="TCN",'Inventaire M'!D358=""),"-",'Inventaire M'!A358)</f>
        <v>-</v>
      </c>
      <c r="C585" s="175" t="str">
        <f>IF(OR('Inventaire M'!D358="Dispo/Liquidité Investie",'Inventaire M'!D358="Option/Future",'Inventaire M'!D358="TCN",'Inventaire M'!D358=""),"-",'Inventaire M'!B358)</f>
        <v>-</v>
      </c>
      <c r="D585" s="175"/>
      <c r="E585" s="175" t="str">
        <f>IF(B585="-","",INDEX('Inventaire M'!$A$2:$AW$9305,MATCH(B585,'Inventaire M'!$A:$A,0)-1,MATCH("Cours EUR",'Inventaire M'!#REF!,0)))</f>
        <v/>
      </c>
      <c r="F585" s="175" t="str">
        <f>IF(B585="-","",IF(ISERROR(INDEX('Inventaire M-1'!$A$2:$AZ$9320,MATCH(B585,'Inventaire M-1'!$A:$A,0)-1,MATCH("Cours EUR",'Inventaire M-1'!#REF!,0))),"Buy",INDEX('Inventaire M-1'!$A$2:$AZ$9320,MATCH(B585,'Inventaire M-1'!$A:$A,0)-1,MATCH("Cours EUR",'Inventaire M-1'!#REF!,0))))</f>
        <v/>
      </c>
      <c r="G585" s="175"/>
      <c r="H585" s="156" t="str">
        <f>IF(B585="-","",INDEX('Inventaire M'!$A$2:$AW$9305,MATCH(B585,'Inventaire M'!$A:$A,0)-1,MATCH("quantite",'Inventaire M'!#REF!,0)))</f>
        <v/>
      </c>
      <c r="I585" s="156" t="str">
        <f>IF(C585="-","",IF(ISERROR(INDEX('Inventaire M-1'!$A$2:$AZ$9320,MATCH(B585,'Inventaire M-1'!$A:$A,0)-1,MATCH("quantite",'Inventaire M-1'!#REF!,0))),"Buy",INDEX('Inventaire M-1'!$A$2:$AZ$9320,MATCH(B585,'Inventaire M-1'!$A:$A,0)-1,MATCH("quantite",'Inventaire M-1'!#REF!,0))))</f>
        <v/>
      </c>
      <c r="J585" s="175"/>
      <c r="K585" s="155" t="str">
        <f>IF(B585="-","",INDEX('Inventaire M'!$A$2:$AW$9305,MATCH(B585,'Inventaire M'!$A:$A,0)-1,MATCH("poids",'Inventaire M'!#REF!,0)))</f>
        <v/>
      </c>
      <c r="L585" s="155" t="str">
        <f>IF(B585="-","",IF(ISERROR(INDEX('Inventaire M-1'!$A$2:$AZ$9320,MATCH(B585,'Inventaire M-1'!$A:$A,0)-1,MATCH("poids",'Inventaire M-1'!#REF!,0))),"Buy",INDEX('Inventaire M-1'!$A$2:$AZ$9320,MATCH(B585,'Inventaire M-1'!$A:$A,0)-1,MATCH("poids",'Inventaire M-1'!#REF!,0))))</f>
        <v/>
      </c>
      <c r="M585" s="175"/>
      <c r="N585" s="157" t="str">
        <f t="shared" si="61"/>
        <v>0</v>
      </c>
      <c r="O585" s="98" t="str">
        <f t="shared" si="60"/>
        <v/>
      </c>
      <c r="P585" s="80" t="str">
        <f t="shared" si="62"/>
        <v>-</v>
      </c>
      <c r="Q585" s="75">
        <v>5.6099999999999999E-8</v>
      </c>
      <c r="R585" s="175" t="str">
        <f>IF(OR('Inventaire M-1'!D337="Dispo/Liquidité Investie",'Inventaire M-1'!D337="Option/Future",'Inventaire M-1'!D337="TCN",'Inventaire M-1'!D337=""),"-",'Inventaire M-1'!A337)</f>
        <v>-</v>
      </c>
      <c r="S585" s="175" t="str">
        <f>IF(OR('Inventaire M-1'!D337="Dispo/Liquidité Investie",'Inventaire M-1'!D337="Option/Future",'Inventaire M-1'!D337="TCN",'Inventaire M-1'!D337=""),"-",'Inventaire M-1'!B337)</f>
        <v>-</v>
      </c>
      <c r="T585" s="175"/>
      <c r="U585" s="175" t="str">
        <f>IF(R585="-","",INDEX('Inventaire M-1'!$A$2:$AG$9334,MATCH(R585,'Inventaire M-1'!$A:$A,0)-1,MATCH("Cours EUR",'Inventaire M-1'!#REF!,0)))</f>
        <v/>
      </c>
      <c r="V585" s="175" t="str">
        <f>IF(R585="-","",IF(ISERROR(INDEX('Inventaire M'!$A$2:$AD$9319,MATCH(R585,'Inventaire M'!$A:$A,0)-1,MATCH("Cours EUR",'Inventaire M'!#REF!,0))),"Sell",INDEX('Inventaire M'!$A$2:$AD$9319,MATCH(R585,'Inventaire M'!$A:$A,0)-1,MATCH("Cours EUR",'Inventaire M'!#REF!,0))))</f>
        <v/>
      </c>
      <c r="W585" s="175"/>
      <c r="X585" s="156" t="str">
        <f>IF(R585="-","",INDEX('Inventaire M-1'!$A$2:$AG$9334,MATCH(R585,'Inventaire M-1'!$A:$A,0)-1,MATCH("quantite",'Inventaire M-1'!#REF!,0)))</f>
        <v/>
      </c>
      <c r="Y585" s="156" t="str">
        <f>IF(S585="-","",IF(ISERROR(INDEX('Inventaire M'!$A$2:$AD$9319,MATCH(R585,'Inventaire M'!$A:$A,0)-1,MATCH("quantite",'Inventaire M'!#REF!,0))),"Sell",INDEX('Inventaire M'!$A$2:$AD$9319,MATCH(R585,'Inventaire M'!$A:$A,0)-1,MATCH("quantite",'Inventaire M'!#REF!,0))))</f>
        <v/>
      </c>
      <c r="Z585" s="175"/>
      <c r="AA585" s="155" t="str">
        <f>IF(R585="-","",INDEX('Inventaire M-1'!$A$2:$AG$9334,MATCH(R585,'Inventaire M-1'!$A:$A,0)-1,MATCH("poids",'Inventaire M-1'!#REF!,0)))</f>
        <v/>
      </c>
      <c r="AB585" s="155" t="str">
        <f>IF(R585="-","",IF(ISERROR(INDEX('Inventaire M'!$A$2:$AD$9319,MATCH(R585,'Inventaire M'!$A:$A,0)-1,MATCH("poids",'Inventaire M'!#REF!,0))),"Sell",INDEX('Inventaire M'!$A$2:$AD$9319,MATCH(R585,'Inventaire M'!$A:$A,0)-1,MATCH("poids",'Inventaire M'!#REF!,0))))</f>
        <v/>
      </c>
      <c r="AC585" s="175"/>
      <c r="AD585" s="157" t="str">
        <f t="shared" si="63"/>
        <v>0</v>
      </c>
      <c r="AE585" s="98" t="str">
        <f t="shared" si="64"/>
        <v/>
      </c>
      <c r="AF585" s="80" t="str">
        <f t="shared" si="65"/>
        <v>-</v>
      </c>
    </row>
    <row r="586" spans="2:32" outlineLevel="1">
      <c r="B586" s="175" t="str">
        <f>IF(OR('Inventaire M'!D359="Dispo/Liquidité Investie",'Inventaire M'!D359="Option/Future",'Inventaire M'!D359="TCN",'Inventaire M'!D359=""),"-",'Inventaire M'!A359)</f>
        <v>-</v>
      </c>
      <c r="C586" s="175" t="str">
        <f>IF(OR('Inventaire M'!D359="Dispo/Liquidité Investie",'Inventaire M'!D359="Option/Future",'Inventaire M'!D359="TCN",'Inventaire M'!D359=""),"-",'Inventaire M'!B359)</f>
        <v>-</v>
      </c>
      <c r="D586" s="175"/>
      <c r="E586" s="175" t="str">
        <f>IF(B586="-","",INDEX('Inventaire M'!$A$2:$AW$9305,MATCH(B586,'Inventaire M'!$A:$A,0)-1,MATCH("Cours EUR",'Inventaire M'!#REF!,0)))</f>
        <v/>
      </c>
      <c r="F586" s="175" t="str">
        <f>IF(B586="-","",IF(ISERROR(INDEX('Inventaire M-1'!$A$2:$AZ$9320,MATCH(B586,'Inventaire M-1'!$A:$A,0)-1,MATCH("Cours EUR",'Inventaire M-1'!#REF!,0))),"Buy",INDEX('Inventaire M-1'!$A$2:$AZ$9320,MATCH(B586,'Inventaire M-1'!$A:$A,0)-1,MATCH("Cours EUR",'Inventaire M-1'!#REF!,0))))</f>
        <v/>
      </c>
      <c r="G586" s="175"/>
      <c r="H586" s="156" t="str">
        <f>IF(B586="-","",INDEX('Inventaire M'!$A$2:$AW$9305,MATCH(B586,'Inventaire M'!$A:$A,0)-1,MATCH("quantite",'Inventaire M'!#REF!,0)))</f>
        <v/>
      </c>
      <c r="I586" s="156" t="str">
        <f>IF(C586="-","",IF(ISERROR(INDEX('Inventaire M-1'!$A$2:$AZ$9320,MATCH(B586,'Inventaire M-1'!$A:$A,0)-1,MATCH("quantite",'Inventaire M-1'!#REF!,0))),"Buy",INDEX('Inventaire M-1'!$A$2:$AZ$9320,MATCH(B586,'Inventaire M-1'!$A:$A,0)-1,MATCH("quantite",'Inventaire M-1'!#REF!,0))))</f>
        <v/>
      </c>
      <c r="J586" s="175"/>
      <c r="K586" s="155" t="str">
        <f>IF(B586="-","",INDEX('Inventaire M'!$A$2:$AW$9305,MATCH(B586,'Inventaire M'!$A:$A,0)-1,MATCH("poids",'Inventaire M'!#REF!,0)))</f>
        <v/>
      </c>
      <c r="L586" s="155" t="str">
        <f>IF(B586="-","",IF(ISERROR(INDEX('Inventaire M-1'!$A$2:$AZ$9320,MATCH(B586,'Inventaire M-1'!$A:$A,0)-1,MATCH("poids",'Inventaire M-1'!#REF!,0))),"Buy",INDEX('Inventaire M-1'!$A$2:$AZ$9320,MATCH(B586,'Inventaire M-1'!$A:$A,0)-1,MATCH("poids",'Inventaire M-1'!#REF!,0))))</f>
        <v/>
      </c>
      <c r="M586" s="175"/>
      <c r="N586" s="157" t="str">
        <f t="shared" si="61"/>
        <v>0</v>
      </c>
      <c r="O586" s="98" t="str">
        <f t="shared" si="60"/>
        <v/>
      </c>
      <c r="P586" s="80" t="str">
        <f t="shared" si="62"/>
        <v>-</v>
      </c>
      <c r="Q586" s="75">
        <v>5.62E-8</v>
      </c>
      <c r="R586" s="175" t="str">
        <f>IF(OR('Inventaire M-1'!D338="Dispo/Liquidité Investie",'Inventaire M-1'!D338="Option/Future",'Inventaire M-1'!D338="TCN",'Inventaire M-1'!D338=""),"-",'Inventaire M-1'!A338)</f>
        <v>-</v>
      </c>
      <c r="S586" s="175" t="str">
        <f>IF(OR('Inventaire M-1'!D338="Dispo/Liquidité Investie",'Inventaire M-1'!D338="Option/Future",'Inventaire M-1'!D338="TCN",'Inventaire M-1'!D338=""),"-",'Inventaire M-1'!B338)</f>
        <v>-</v>
      </c>
      <c r="T586" s="175"/>
      <c r="U586" s="175" t="str">
        <f>IF(R586="-","",INDEX('Inventaire M-1'!$A$2:$AG$9334,MATCH(R586,'Inventaire M-1'!$A:$A,0)-1,MATCH("Cours EUR",'Inventaire M-1'!#REF!,0)))</f>
        <v/>
      </c>
      <c r="V586" s="175" t="str">
        <f>IF(R586="-","",IF(ISERROR(INDEX('Inventaire M'!$A$2:$AD$9319,MATCH(R586,'Inventaire M'!$A:$A,0)-1,MATCH("Cours EUR",'Inventaire M'!#REF!,0))),"Sell",INDEX('Inventaire M'!$A$2:$AD$9319,MATCH(R586,'Inventaire M'!$A:$A,0)-1,MATCH("Cours EUR",'Inventaire M'!#REF!,0))))</f>
        <v/>
      </c>
      <c r="W586" s="175"/>
      <c r="X586" s="156" t="str">
        <f>IF(R586="-","",INDEX('Inventaire M-1'!$A$2:$AG$9334,MATCH(R586,'Inventaire M-1'!$A:$A,0)-1,MATCH("quantite",'Inventaire M-1'!#REF!,0)))</f>
        <v/>
      </c>
      <c r="Y586" s="156" t="str">
        <f>IF(S586="-","",IF(ISERROR(INDEX('Inventaire M'!$A$2:$AD$9319,MATCH(R586,'Inventaire M'!$A:$A,0)-1,MATCH("quantite",'Inventaire M'!#REF!,0))),"Sell",INDEX('Inventaire M'!$A$2:$AD$9319,MATCH(R586,'Inventaire M'!$A:$A,0)-1,MATCH("quantite",'Inventaire M'!#REF!,0))))</f>
        <v/>
      </c>
      <c r="Z586" s="175"/>
      <c r="AA586" s="155" t="str">
        <f>IF(R586="-","",INDEX('Inventaire M-1'!$A$2:$AG$9334,MATCH(R586,'Inventaire M-1'!$A:$A,0)-1,MATCH("poids",'Inventaire M-1'!#REF!,0)))</f>
        <v/>
      </c>
      <c r="AB586" s="155" t="str">
        <f>IF(R586="-","",IF(ISERROR(INDEX('Inventaire M'!$A$2:$AD$9319,MATCH(R586,'Inventaire M'!$A:$A,0)-1,MATCH("poids",'Inventaire M'!#REF!,0))),"Sell",INDEX('Inventaire M'!$A$2:$AD$9319,MATCH(R586,'Inventaire M'!$A:$A,0)-1,MATCH("poids",'Inventaire M'!#REF!,0))))</f>
        <v/>
      </c>
      <c r="AC586" s="175"/>
      <c r="AD586" s="157" t="str">
        <f t="shared" si="63"/>
        <v>0</v>
      </c>
      <c r="AE586" s="98" t="str">
        <f t="shared" si="64"/>
        <v/>
      </c>
      <c r="AF586" s="80" t="str">
        <f t="shared" si="65"/>
        <v>-</v>
      </c>
    </row>
    <row r="587" spans="2:32" outlineLevel="1">
      <c r="B587" s="175" t="str">
        <f>IF(OR('Inventaire M'!D360="Dispo/Liquidité Investie",'Inventaire M'!D360="Option/Future",'Inventaire M'!D360="TCN",'Inventaire M'!D360=""),"-",'Inventaire M'!A360)</f>
        <v>-</v>
      </c>
      <c r="C587" s="175" t="str">
        <f>IF(OR('Inventaire M'!D360="Dispo/Liquidité Investie",'Inventaire M'!D360="Option/Future",'Inventaire M'!D360="TCN",'Inventaire M'!D360=""),"-",'Inventaire M'!B360)</f>
        <v>-</v>
      </c>
      <c r="D587" s="175"/>
      <c r="E587" s="175" t="str">
        <f>IF(B587="-","",INDEX('Inventaire M'!$A$2:$AW$9305,MATCH(B587,'Inventaire M'!$A:$A,0)-1,MATCH("Cours EUR",'Inventaire M'!#REF!,0)))</f>
        <v/>
      </c>
      <c r="F587" s="175" t="str">
        <f>IF(B587="-","",IF(ISERROR(INDEX('Inventaire M-1'!$A$2:$AZ$9320,MATCH(B587,'Inventaire M-1'!$A:$A,0)-1,MATCH("Cours EUR",'Inventaire M-1'!#REF!,0))),"Buy",INDEX('Inventaire M-1'!$A$2:$AZ$9320,MATCH(B587,'Inventaire M-1'!$A:$A,0)-1,MATCH("Cours EUR",'Inventaire M-1'!#REF!,0))))</f>
        <v/>
      </c>
      <c r="G587" s="175"/>
      <c r="H587" s="156" t="str">
        <f>IF(B587="-","",INDEX('Inventaire M'!$A$2:$AW$9305,MATCH(B587,'Inventaire M'!$A:$A,0)-1,MATCH("quantite",'Inventaire M'!#REF!,0)))</f>
        <v/>
      </c>
      <c r="I587" s="156" t="str">
        <f>IF(C587="-","",IF(ISERROR(INDEX('Inventaire M-1'!$A$2:$AZ$9320,MATCH(B587,'Inventaire M-1'!$A:$A,0)-1,MATCH("quantite",'Inventaire M-1'!#REF!,0))),"Buy",INDEX('Inventaire M-1'!$A$2:$AZ$9320,MATCH(B587,'Inventaire M-1'!$A:$A,0)-1,MATCH("quantite",'Inventaire M-1'!#REF!,0))))</f>
        <v/>
      </c>
      <c r="J587" s="175"/>
      <c r="K587" s="155" t="str">
        <f>IF(B587="-","",INDEX('Inventaire M'!$A$2:$AW$9305,MATCH(B587,'Inventaire M'!$A:$A,0)-1,MATCH("poids",'Inventaire M'!#REF!,0)))</f>
        <v/>
      </c>
      <c r="L587" s="155" t="str">
        <f>IF(B587="-","",IF(ISERROR(INDEX('Inventaire M-1'!$A$2:$AZ$9320,MATCH(B587,'Inventaire M-1'!$A:$A,0)-1,MATCH("poids",'Inventaire M-1'!#REF!,0))),"Buy",INDEX('Inventaire M-1'!$A$2:$AZ$9320,MATCH(B587,'Inventaire M-1'!$A:$A,0)-1,MATCH("poids",'Inventaire M-1'!#REF!,0))))</f>
        <v/>
      </c>
      <c r="M587" s="175"/>
      <c r="N587" s="157" t="str">
        <f t="shared" si="61"/>
        <v>0</v>
      </c>
      <c r="O587" s="98" t="str">
        <f t="shared" si="60"/>
        <v/>
      </c>
      <c r="P587" s="80" t="str">
        <f t="shared" si="62"/>
        <v>-</v>
      </c>
      <c r="Q587" s="75">
        <v>5.6300000000000001E-8</v>
      </c>
      <c r="R587" s="175" t="str">
        <f>IF(OR('Inventaire M-1'!D339="Dispo/Liquidité Investie",'Inventaire M-1'!D339="Option/Future",'Inventaire M-1'!D339="TCN",'Inventaire M-1'!D339=""),"-",'Inventaire M-1'!A339)</f>
        <v>-</v>
      </c>
      <c r="S587" s="175" t="str">
        <f>IF(OR('Inventaire M-1'!D339="Dispo/Liquidité Investie",'Inventaire M-1'!D339="Option/Future",'Inventaire M-1'!D339="TCN",'Inventaire M-1'!D339=""),"-",'Inventaire M-1'!B339)</f>
        <v>-</v>
      </c>
      <c r="T587" s="175"/>
      <c r="U587" s="175" t="str">
        <f>IF(R587="-","",INDEX('Inventaire M-1'!$A$2:$AG$9334,MATCH(R587,'Inventaire M-1'!$A:$A,0)-1,MATCH("Cours EUR",'Inventaire M-1'!#REF!,0)))</f>
        <v/>
      </c>
      <c r="V587" s="175" t="str">
        <f>IF(R587="-","",IF(ISERROR(INDEX('Inventaire M'!$A$2:$AD$9319,MATCH(R587,'Inventaire M'!$A:$A,0)-1,MATCH("Cours EUR",'Inventaire M'!#REF!,0))),"Sell",INDEX('Inventaire M'!$A$2:$AD$9319,MATCH(R587,'Inventaire M'!$A:$A,0)-1,MATCH("Cours EUR",'Inventaire M'!#REF!,0))))</f>
        <v/>
      </c>
      <c r="W587" s="175"/>
      <c r="X587" s="156" t="str">
        <f>IF(R587="-","",INDEX('Inventaire M-1'!$A$2:$AG$9334,MATCH(R587,'Inventaire M-1'!$A:$A,0)-1,MATCH("quantite",'Inventaire M-1'!#REF!,0)))</f>
        <v/>
      </c>
      <c r="Y587" s="156" t="str">
        <f>IF(S587="-","",IF(ISERROR(INDEX('Inventaire M'!$A$2:$AD$9319,MATCH(R587,'Inventaire M'!$A:$A,0)-1,MATCH("quantite",'Inventaire M'!#REF!,0))),"Sell",INDEX('Inventaire M'!$A$2:$AD$9319,MATCH(R587,'Inventaire M'!$A:$A,0)-1,MATCH("quantite",'Inventaire M'!#REF!,0))))</f>
        <v/>
      </c>
      <c r="Z587" s="175"/>
      <c r="AA587" s="155" t="str">
        <f>IF(R587="-","",INDEX('Inventaire M-1'!$A$2:$AG$9334,MATCH(R587,'Inventaire M-1'!$A:$A,0)-1,MATCH("poids",'Inventaire M-1'!#REF!,0)))</f>
        <v/>
      </c>
      <c r="AB587" s="155" t="str">
        <f>IF(R587="-","",IF(ISERROR(INDEX('Inventaire M'!$A$2:$AD$9319,MATCH(R587,'Inventaire M'!$A:$A,0)-1,MATCH("poids",'Inventaire M'!#REF!,0))),"Sell",INDEX('Inventaire M'!$A$2:$AD$9319,MATCH(R587,'Inventaire M'!$A:$A,0)-1,MATCH("poids",'Inventaire M'!#REF!,0))))</f>
        <v/>
      </c>
      <c r="AC587" s="175"/>
      <c r="AD587" s="157" t="str">
        <f t="shared" si="63"/>
        <v>0</v>
      </c>
      <c r="AE587" s="98" t="str">
        <f t="shared" si="64"/>
        <v/>
      </c>
      <c r="AF587" s="80" t="str">
        <f t="shared" si="65"/>
        <v>-</v>
      </c>
    </row>
    <row r="588" spans="2:32" outlineLevel="1">
      <c r="B588" s="175" t="str">
        <f>IF(OR('Inventaire M'!D361="Dispo/Liquidité Investie",'Inventaire M'!D361="Option/Future",'Inventaire M'!D361="TCN",'Inventaire M'!D361=""),"-",'Inventaire M'!A361)</f>
        <v>-</v>
      </c>
      <c r="C588" s="175" t="str">
        <f>IF(OR('Inventaire M'!D361="Dispo/Liquidité Investie",'Inventaire M'!D361="Option/Future",'Inventaire M'!D361="TCN",'Inventaire M'!D361=""),"-",'Inventaire M'!B361)</f>
        <v>-</v>
      </c>
      <c r="D588" s="175"/>
      <c r="E588" s="175" t="str">
        <f>IF(B588="-","",INDEX('Inventaire M'!$A$2:$AW$9305,MATCH(B588,'Inventaire M'!$A:$A,0)-1,MATCH("Cours EUR",'Inventaire M'!#REF!,0)))</f>
        <v/>
      </c>
      <c r="F588" s="175" t="str">
        <f>IF(B588="-","",IF(ISERROR(INDEX('Inventaire M-1'!$A$2:$AZ$9320,MATCH(B588,'Inventaire M-1'!$A:$A,0)-1,MATCH("Cours EUR",'Inventaire M-1'!#REF!,0))),"Buy",INDEX('Inventaire M-1'!$A$2:$AZ$9320,MATCH(B588,'Inventaire M-1'!$A:$A,0)-1,MATCH("Cours EUR",'Inventaire M-1'!#REF!,0))))</f>
        <v/>
      </c>
      <c r="G588" s="175"/>
      <c r="H588" s="156" t="str">
        <f>IF(B588="-","",INDEX('Inventaire M'!$A$2:$AW$9305,MATCH(B588,'Inventaire M'!$A:$A,0)-1,MATCH("quantite",'Inventaire M'!#REF!,0)))</f>
        <v/>
      </c>
      <c r="I588" s="156" t="str">
        <f>IF(C588="-","",IF(ISERROR(INDEX('Inventaire M-1'!$A$2:$AZ$9320,MATCH(B588,'Inventaire M-1'!$A:$A,0)-1,MATCH("quantite",'Inventaire M-1'!#REF!,0))),"Buy",INDEX('Inventaire M-1'!$A$2:$AZ$9320,MATCH(B588,'Inventaire M-1'!$A:$A,0)-1,MATCH("quantite",'Inventaire M-1'!#REF!,0))))</f>
        <v/>
      </c>
      <c r="J588" s="175"/>
      <c r="K588" s="155" t="str">
        <f>IF(B588="-","",INDEX('Inventaire M'!$A$2:$AW$9305,MATCH(B588,'Inventaire M'!$A:$A,0)-1,MATCH("poids",'Inventaire M'!#REF!,0)))</f>
        <v/>
      </c>
      <c r="L588" s="155" t="str">
        <f>IF(B588="-","",IF(ISERROR(INDEX('Inventaire M-1'!$A$2:$AZ$9320,MATCH(B588,'Inventaire M-1'!$A:$A,0)-1,MATCH("poids",'Inventaire M-1'!#REF!,0))),"Buy",INDEX('Inventaire M-1'!$A$2:$AZ$9320,MATCH(B588,'Inventaire M-1'!$A:$A,0)-1,MATCH("poids",'Inventaire M-1'!#REF!,0))))</f>
        <v/>
      </c>
      <c r="M588" s="175"/>
      <c r="N588" s="157" t="str">
        <f t="shared" si="61"/>
        <v>0</v>
      </c>
      <c r="O588" s="98" t="str">
        <f t="shared" si="60"/>
        <v/>
      </c>
      <c r="P588" s="80" t="str">
        <f t="shared" si="62"/>
        <v>-</v>
      </c>
      <c r="Q588" s="75">
        <v>5.6400000000000002E-8</v>
      </c>
      <c r="R588" s="175" t="str">
        <f>IF(OR('Inventaire M-1'!D340="Dispo/Liquidité Investie",'Inventaire M-1'!D340="Option/Future",'Inventaire M-1'!D340="TCN",'Inventaire M-1'!D340=""),"-",'Inventaire M-1'!A340)</f>
        <v>-</v>
      </c>
      <c r="S588" s="175" t="str">
        <f>IF(OR('Inventaire M-1'!D340="Dispo/Liquidité Investie",'Inventaire M-1'!D340="Option/Future",'Inventaire M-1'!D340="TCN",'Inventaire M-1'!D340=""),"-",'Inventaire M-1'!B340)</f>
        <v>-</v>
      </c>
      <c r="T588" s="175"/>
      <c r="U588" s="175" t="str">
        <f>IF(R588="-","",INDEX('Inventaire M-1'!$A$2:$AG$9334,MATCH(R588,'Inventaire M-1'!$A:$A,0)-1,MATCH("Cours EUR",'Inventaire M-1'!#REF!,0)))</f>
        <v/>
      </c>
      <c r="V588" s="175" t="str">
        <f>IF(R588="-","",IF(ISERROR(INDEX('Inventaire M'!$A$2:$AD$9319,MATCH(R588,'Inventaire M'!$A:$A,0)-1,MATCH("Cours EUR",'Inventaire M'!#REF!,0))),"Sell",INDEX('Inventaire M'!$A$2:$AD$9319,MATCH(R588,'Inventaire M'!$A:$A,0)-1,MATCH("Cours EUR",'Inventaire M'!#REF!,0))))</f>
        <v/>
      </c>
      <c r="W588" s="175"/>
      <c r="X588" s="156" t="str">
        <f>IF(R588="-","",INDEX('Inventaire M-1'!$A$2:$AG$9334,MATCH(R588,'Inventaire M-1'!$A:$A,0)-1,MATCH("quantite",'Inventaire M-1'!#REF!,0)))</f>
        <v/>
      </c>
      <c r="Y588" s="156" t="str">
        <f>IF(S588="-","",IF(ISERROR(INDEX('Inventaire M'!$A$2:$AD$9319,MATCH(R588,'Inventaire M'!$A:$A,0)-1,MATCH("quantite",'Inventaire M'!#REF!,0))),"Sell",INDEX('Inventaire M'!$A$2:$AD$9319,MATCH(R588,'Inventaire M'!$A:$A,0)-1,MATCH("quantite",'Inventaire M'!#REF!,0))))</f>
        <v/>
      </c>
      <c r="Z588" s="175"/>
      <c r="AA588" s="155" t="str">
        <f>IF(R588="-","",INDEX('Inventaire M-1'!$A$2:$AG$9334,MATCH(R588,'Inventaire M-1'!$A:$A,0)-1,MATCH("poids",'Inventaire M-1'!#REF!,0)))</f>
        <v/>
      </c>
      <c r="AB588" s="155" t="str">
        <f>IF(R588="-","",IF(ISERROR(INDEX('Inventaire M'!$A$2:$AD$9319,MATCH(R588,'Inventaire M'!$A:$A,0)-1,MATCH("poids",'Inventaire M'!#REF!,0))),"Sell",INDEX('Inventaire M'!$A$2:$AD$9319,MATCH(R588,'Inventaire M'!$A:$A,0)-1,MATCH("poids",'Inventaire M'!#REF!,0))))</f>
        <v/>
      </c>
      <c r="AC588" s="175"/>
      <c r="AD588" s="157" t="str">
        <f t="shared" si="63"/>
        <v>0</v>
      </c>
      <c r="AE588" s="98" t="str">
        <f t="shared" si="64"/>
        <v/>
      </c>
      <c r="AF588" s="80" t="str">
        <f t="shared" si="65"/>
        <v>-</v>
      </c>
    </row>
    <row r="589" spans="2:32" outlineLevel="1">
      <c r="B589" s="175" t="str">
        <f>IF(OR('Inventaire M'!D362="Dispo/Liquidité Investie",'Inventaire M'!D362="Option/Future",'Inventaire M'!D362="TCN",'Inventaire M'!D362=""),"-",'Inventaire M'!A362)</f>
        <v>-</v>
      </c>
      <c r="C589" s="175" t="str">
        <f>IF(OR('Inventaire M'!D362="Dispo/Liquidité Investie",'Inventaire M'!D362="Option/Future",'Inventaire M'!D362="TCN",'Inventaire M'!D362=""),"-",'Inventaire M'!B362)</f>
        <v>-</v>
      </c>
      <c r="D589" s="175"/>
      <c r="E589" s="175" t="str">
        <f>IF(B589="-","",INDEX('Inventaire M'!$A$2:$AW$9305,MATCH(B589,'Inventaire M'!$A:$A,0)-1,MATCH("Cours EUR",'Inventaire M'!#REF!,0)))</f>
        <v/>
      </c>
      <c r="F589" s="175" t="str">
        <f>IF(B589="-","",IF(ISERROR(INDEX('Inventaire M-1'!$A$2:$AZ$9320,MATCH(B589,'Inventaire M-1'!$A:$A,0)-1,MATCH("Cours EUR",'Inventaire M-1'!#REF!,0))),"Buy",INDEX('Inventaire M-1'!$A$2:$AZ$9320,MATCH(B589,'Inventaire M-1'!$A:$A,0)-1,MATCH("Cours EUR",'Inventaire M-1'!#REF!,0))))</f>
        <v/>
      </c>
      <c r="G589" s="175"/>
      <c r="H589" s="156" t="str">
        <f>IF(B589="-","",INDEX('Inventaire M'!$A$2:$AW$9305,MATCH(B589,'Inventaire M'!$A:$A,0)-1,MATCH("quantite",'Inventaire M'!#REF!,0)))</f>
        <v/>
      </c>
      <c r="I589" s="156" t="str">
        <f>IF(C589="-","",IF(ISERROR(INDEX('Inventaire M-1'!$A$2:$AZ$9320,MATCH(B589,'Inventaire M-1'!$A:$A,0)-1,MATCH("quantite",'Inventaire M-1'!#REF!,0))),"Buy",INDEX('Inventaire M-1'!$A$2:$AZ$9320,MATCH(B589,'Inventaire M-1'!$A:$A,0)-1,MATCH("quantite",'Inventaire M-1'!#REF!,0))))</f>
        <v/>
      </c>
      <c r="J589" s="175"/>
      <c r="K589" s="155" t="str">
        <f>IF(B589="-","",INDEX('Inventaire M'!$A$2:$AW$9305,MATCH(B589,'Inventaire M'!$A:$A,0)-1,MATCH("poids",'Inventaire M'!#REF!,0)))</f>
        <v/>
      </c>
      <c r="L589" s="155" t="str">
        <f>IF(B589="-","",IF(ISERROR(INDEX('Inventaire M-1'!$A$2:$AZ$9320,MATCH(B589,'Inventaire M-1'!$A:$A,0)-1,MATCH("poids",'Inventaire M-1'!#REF!,0))),"Buy",INDEX('Inventaire M-1'!$A$2:$AZ$9320,MATCH(B589,'Inventaire M-1'!$A:$A,0)-1,MATCH("poids",'Inventaire M-1'!#REF!,0))))</f>
        <v/>
      </c>
      <c r="M589" s="175"/>
      <c r="N589" s="157" t="str">
        <f t="shared" si="61"/>
        <v>0</v>
      </c>
      <c r="O589" s="98" t="str">
        <f t="shared" si="60"/>
        <v/>
      </c>
      <c r="P589" s="80" t="str">
        <f t="shared" si="62"/>
        <v>-</v>
      </c>
      <c r="Q589" s="75">
        <v>5.6500000000000003E-8</v>
      </c>
      <c r="R589" s="175" t="str">
        <f>IF(OR('Inventaire M-1'!D341="Dispo/Liquidité Investie",'Inventaire M-1'!D341="Option/Future",'Inventaire M-1'!D341="TCN",'Inventaire M-1'!D341=""),"-",'Inventaire M-1'!A341)</f>
        <v>-</v>
      </c>
      <c r="S589" s="175" t="str">
        <f>IF(OR('Inventaire M-1'!D341="Dispo/Liquidité Investie",'Inventaire M-1'!D341="Option/Future",'Inventaire M-1'!D341="TCN",'Inventaire M-1'!D341=""),"-",'Inventaire M-1'!B341)</f>
        <v>-</v>
      </c>
      <c r="T589" s="175"/>
      <c r="U589" s="175" t="str">
        <f>IF(R589="-","",INDEX('Inventaire M-1'!$A$2:$AG$9334,MATCH(R589,'Inventaire M-1'!$A:$A,0)-1,MATCH("Cours EUR",'Inventaire M-1'!#REF!,0)))</f>
        <v/>
      </c>
      <c r="V589" s="175" t="str">
        <f>IF(R589="-","",IF(ISERROR(INDEX('Inventaire M'!$A$2:$AD$9319,MATCH(R589,'Inventaire M'!$A:$A,0)-1,MATCH("Cours EUR",'Inventaire M'!#REF!,0))),"Sell",INDEX('Inventaire M'!$A$2:$AD$9319,MATCH(R589,'Inventaire M'!$A:$A,0)-1,MATCH("Cours EUR",'Inventaire M'!#REF!,0))))</f>
        <v/>
      </c>
      <c r="W589" s="175"/>
      <c r="X589" s="156" t="str">
        <f>IF(R589="-","",INDEX('Inventaire M-1'!$A$2:$AG$9334,MATCH(R589,'Inventaire M-1'!$A:$A,0)-1,MATCH("quantite",'Inventaire M-1'!#REF!,0)))</f>
        <v/>
      </c>
      <c r="Y589" s="156" t="str">
        <f>IF(S589="-","",IF(ISERROR(INDEX('Inventaire M'!$A$2:$AD$9319,MATCH(R589,'Inventaire M'!$A:$A,0)-1,MATCH("quantite",'Inventaire M'!#REF!,0))),"Sell",INDEX('Inventaire M'!$A$2:$AD$9319,MATCH(R589,'Inventaire M'!$A:$A,0)-1,MATCH("quantite",'Inventaire M'!#REF!,0))))</f>
        <v/>
      </c>
      <c r="Z589" s="175"/>
      <c r="AA589" s="155" t="str">
        <f>IF(R589="-","",INDEX('Inventaire M-1'!$A$2:$AG$9334,MATCH(R589,'Inventaire M-1'!$A:$A,0)-1,MATCH("poids",'Inventaire M-1'!#REF!,0)))</f>
        <v/>
      </c>
      <c r="AB589" s="155" t="str">
        <f>IF(R589="-","",IF(ISERROR(INDEX('Inventaire M'!$A$2:$AD$9319,MATCH(R589,'Inventaire M'!$A:$A,0)-1,MATCH("poids",'Inventaire M'!#REF!,0))),"Sell",INDEX('Inventaire M'!$A$2:$AD$9319,MATCH(R589,'Inventaire M'!$A:$A,0)-1,MATCH("poids",'Inventaire M'!#REF!,0))))</f>
        <v/>
      </c>
      <c r="AC589" s="175"/>
      <c r="AD589" s="157" t="str">
        <f t="shared" si="63"/>
        <v>0</v>
      </c>
      <c r="AE589" s="98" t="str">
        <f t="shared" si="64"/>
        <v/>
      </c>
      <c r="AF589" s="80" t="str">
        <f t="shared" si="65"/>
        <v>-</v>
      </c>
    </row>
    <row r="590" spans="2:32" outlineLevel="1">
      <c r="B590" s="175" t="str">
        <f>IF(OR('Inventaire M'!D363="Dispo/Liquidité Investie",'Inventaire M'!D363="Option/Future",'Inventaire M'!D363="TCN",'Inventaire M'!D363=""),"-",'Inventaire M'!A363)</f>
        <v>-</v>
      </c>
      <c r="C590" s="175" t="str">
        <f>IF(OR('Inventaire M'!D363="Dispo/Liquidité Investie",'Inventaire M'!D363="Option/Future",'Inventaire M'!D363="TCN",'Inventaire M'!D363=""),"-",'Inventaire M'!B363)</f>
        <v>-</v>
      </c>
      <c r="D590" s="175"/>
      <c r="E590" s="175" t="str">
        <f>IF(B590="-","",INDEX('Inventaire M'!$A$2:$AW$9305,MATCH(B590,'Inventaire M'!$A:$A,0)-1,MATCH("Cours EUR",'Inventaire M'!#REF!,0)))</f>
        <v/>
      </c>
      <c r="F590" s="175" t="str">
        <f>IF(B590="-","",IF(ISERROR(INDEX('Inventaire M-1'!$A$2:$AZ$9320,MATCH(B590,'Inventaire M-1'!$A:$A,0)-1,MATCH("Cours EUR",'Inventaire M-1'!#REF!,0))),"Buy",INDEX('Inventaire M-1'!$A$2:$AZ$9320,MATCH(B590,'Inventaire M-1'!$A:$A,0)-1,MATCH("Cours EUR",'Inventaire M-1'!#REF!,0))))</f>
        <v/>
      </c>
      <c r="G590" s="175"/>
      <c r="H590" s="156" t="str">
        <f>IF(B590="-","",INDEX('Inventaire M'!$A$2:$AW$9305,MATCH(B590,'Inventaire M'!$A:$A,0)-1,MATCH("quantite",'Inventaire M'!#REF!,0)))</f>
        <v/>
      </c>
      <c r="I590" s="156" t="str">
        <f>IF(C590="-","",IF(ISERROR(INDEX('Inventaire M-1'!$A$2:$AZ$9320,MATCH(B590,'Inventaire M-1'!$A:$A,0)-1,MATCH("quantite",'Inventaire M-1'!#REF!,0))),"Buy",INDEX('Inventaire M-1'!$A$2:$AZ$9320,MATCH(B590,'Inventaire M-1'!$A:$A,0)-1,MATCH("quantite",'Inventaire M-1'!#REF!,0))))</f>
        <v/>
      </c>
      <c r="J590" s="175"/>
      <c r="K590" s="155" t="str">
        <f>IF(B590="-","",INDEX('Inventaire M'!$A$2:$AW$9305,MATCH(B590,'Inventaire M'!$A:$A,0)-1,MATCH("poids",'Inventaire M'!#REF!,0)))</f>
        <v/>
      </c>
      <c r="L590" s="155" t="str">
        <f>IF(B590="-","",IF(ISERROR(INDEX('Inventaire M-1'!$A$2:$AZ$9320,MATCH(B590,'Inventaire M-1'!$A:$A,0)-1,MATCH("poids",'Inventaire M-1'!#REF!,0))),"Buy",INDEX('Inventaire M-1'!$A$2:$AZ$9320,MATCH(B590,'Inventaire M-1'!$A:$A,0)-1,MATCH("poids",'Inventaire M-1'!#REF!,0))))</f>
        <v/>
      </c>
      <c r="M590" s="175"/>
      <c r="N590" s="157" t="str">
        <f t="shared" si="61"/>
        <v>0</v>
      </c>
      <c r="O590" s="98" t="str">
        <f t="shared" si="60"/>
        <v/>
      </c>
      <c r="P590" s="80" t="str">
        <f t="shared" si="62"/>
        <v>-</v>
      </c>
      <c r="Q590" s="75">
        <v>5.6599999999999997E-8</v>
      </c>
      <c r="R590" s="175" t="str">
        <f>IF(OR('Inventaire M-1'!D342="Dispo/Liquidité Investie",'Inventaire M-1'!D342="Option/Future",'Inventaire M-1'!D342="TCN",'Inventaire M-1'!D342=""),"-",'Inventaire M-1'!A342)</f>
        <v>-</v>
      </c>
      <c r="S590" s="175" t="str">
        <f>IF(OR('Inventaire M-1'!D342="Dispo/Liquidité Investie",'Inventaire M-1'!D342="Option/Future",'Inventaire M-1'!D342="TCN",'Inventaire M-1'!D342=""),"-",'Inventaire M-1'!B342)</f>
        <v>-</v>
      </c>
      <c r="T590" s="175"/>
      <c r="U590" s="175" t="str">
        <f>IF(R590="-","",INDEX('Inventaire M-1'!$A$2:$AG$9334,MATCH(R590,'Inventaire M-1'!$A:$A,0)-1,MATCH("Cours EUR",'Inventaire M-1'!#REF!,0)))</f>
        <v/>
      </c>
      <c r="V590" s="175" t="str">
        <f>IF(R590="-","",IF(ISERROR(INDEX('Inventaire M'!$A$2:$AD$9319,MATCH(R590,'Inventaire M'!$A:$A,0)-1,MATCH("Cours EUR",'Inventaire M'!#REF!,0))),"Sell",INDEX('Inventaire M'!$A$2:$AD$9319,MATCH(R590,'Inventaire M'!$A:$A,0)-1,MATCH("Cours EUR",'Inventaire M'!#REF!,0))))</f>
        <v/>
      </c>
      <c r="W590" s="175"/>
      <c r="X590" s="156" t="str">
        <f>IF(R590="-","",INDEX('Inventaire M-1'!$A$2:$AG$9334,MATCH(R590,'Inventaire M-1'!$A:$A,0)-1,MATCH("quantite",'Inventaire M-1'!#REF!,0)))</f>
        <v/>
      </c>
      <c r="Y590" s="156" t="str">
        <f>IF(S590="-","",IF(ISERROR(INDEX('Inventaire M'!$A$2:$AD$9319,MATCH(R590,'Inventaire M'!$A:$A,0)-1,MATCH("quantite",'Inventaire M'!#REF!,0))),"Sell",INDEX('Inventaire M'!$A$2:$AD$9319,MATCH(R590,'Inventaire M'!$A:$A,0)-1,MATCH("quantite",'Inventaire M'!#REF!,0))))</f>
        <v/>
      </c>
      <c r="Z590" s="175"/>
      <c r="AA590" s="155" t="str">
        <f>IF(R590="-","",INDEX('Inventaire M-1'!$A$2:$AG$9334,MATCH(R590,'Inventaire M-1'!$A:$A,0)-1,MATCH("poids",'Inventaire M-1'!#REF!,0)))</f>
        <v/>
      </c>
      <c r="AB590" s="155" t="str">
        <f>IF(R590="-","",IF(ISERROR(INDEX('Inventaire M'!$A$2:$AD$9319,MATCH(R590,'Inventaire M'!$A:$A,0)-1,MATCH("poids",'Inventaire M'!#REF!,0))),"Sell",INDEX('Inventaire M'!$A$2:$AD$9319,MATCH(R590,'Inventaire M'!$A:$A,0)-1,MATCH("poids",'Inventaire M'!#REF!,0))))</f>
        <v/>
      </c>
      <c r="AC590" s="175"/>
      <c r="AD590" s="157" t="str">
        <f t="shared" si="63"/>
        <v>0</v>
      </c>
      <c r="AE590" s="98" t="str">
        <f t="shared" si="64"/>
        <v/>
      </c>
      <c r="AF590" s="80" t="str">
        <f t="shared" si="65"/>
        <v>-</v>
      </c>
    </row>
    <row r="591" spans="2:32" outlineLevel="1">
      <c r="B591" s="175" t="str">
        <f>IF(OR('Inventaire M'!D364="Dispo/Liquidité Investie",'Inventaire M'!D364="Option/Future",'Inventaire M'!D364="TCN",'Inventaire M'!D364=""),"-",'Inventaire M'!A364)</f>
        <v>-</v>
      </c>
      <c r="C591" s="175" t="str">
        <f>IF(OR('Inventaire M'!D364="Dispo/Liquidité Investie",'Inventaire M'!D364="Option/Future",'Inventaire M'!D364="TCN",'Inventaire M'!D364=""),"-",'Inventaire M'!B364)</f>
        <v>-</v>
      </c>
      <c r="D591" s="175"/>
      <c r="E591" s="175" t="str">
        <f>IF(B591="-","",INDEX('Inventaire M'!$A$2:$AW$9305,MATCH(B591,'Inventaire M'!$A:$A,0)-1,MATCH("Cours EUR",'Inventaire M'!#REF!,0)))</f>
        <v/>
      </c>
      <c r="F591" s="175" t="str">
        <f>IF(B591="-","",IF(ISERROR(INDEX('Inventaire M-1'!$A$2:$AZ$9320,MATCH(B591,'Inventaire M-1'!$A:$A,0)-1,MATCH("Cours EUR",'Inventaire M-1'!#REF!,0))),"Buy",INDEX('Inventaire M-1'!$A$2:$AZ$9320,MATCH(B591,'Inventaire M-1'!$A:$A,0)-1,MATCH("Cours EUR",'Inventaire M-1'!#REF!,0))))</f>
        <v/>
      </c>
      <c r="G591" s="175"/>
      <c r="H591" s="156" t="str">
        <f>IF(B591="-","",INDEX('Inventaire M'!$A$2:$AW$9305,MATCH(B591,'Inventaire M'!$A:$A,0)-1,MATCH("quantite",'Inventaire M'!#REF!,0)))</f>
        <v/>
      </c>
      <c r="I591" s="156" t="str">
        <f>IF(C591="-","",IF(ISERROR(INDEX('Inventaire M-1'!$A$2:$AZ$9320,MATCH(B591,'Inventaire M-1'!$A:$A,0)-1,MATCH("quantite",'Inventaire M-1'!#REF!,0))),"Buy",INDEX('Inventaire M-1'!$A$2:$AZ$9320,MATCH(B591,'Inventaire M-1'!$A:$A,0)-1,MATCH("quantite",'Inventaire M-1'!#REF!,0))))</f>
        <v/>
      </c>
      <c r="J591" s="175"/>
      <c r="K591" s="155" t="str">
        <f>IF(B591="-","",INDEX('Inventaire M'!$A$2:$AW$9305,MATCH(B591,'Inventaire M'!$A:$A,0)-1,MATCH("poids",'Inventaire M'!#REF!,0)))</f>
        <v/>
      </c>
      <c r="L591" s="155" t="str">
        <f>IF(B591="-","",IF(ISERROR(INDEX('Inventaire M-1'!$A$2:$AZ$9320,MATCH(B591,'Inventaire M-1'!$A:$A,0)-1,MATCH("poids",'Inventaire M-1'!#REF!,0))),"Buy",INDEX('Inventaire M-1'!$A$2:$AZ$9320,MATCH(B591,'Inventaire M-1'!$A:$A,0)-1,MATCH("poids",'Inventaire M-1'!#REF!,0))))</f>
        <v/>
      </c>
      <c r="M591" s="175"/>
      <c r="N591" s="157" t="str">
        <f t="shared" si="61"/>
        <v>0</v>
      </c>
      <c r="O591" s="98" t="str">
        <f t="shared" si="60"/>
        <v/>
      </c>
      <c r="P591" s="80" t="str">
        <f t="shared" si="62"/>
        <v>-</v>
      </c>
      <c r="Q591" s="75">
        <v>5.6699999999999998E-8</v>
      </c>
      <c r="R591" s="175" t="str">
        <f>IF(OR('Inventaire M-1'!D343="Dispo/Liquidité Investie",'Inventaire M-1'!D343="Option/Future",'Inventaire M-1'!D343="TCN",'Inventaire M-1'!D343=""),"-",'Inventaire M-1'!A343)</f>
        <v>-</v>
      </c>
      <c r="S591" s="175" t="str">
        <f>IF(OR('Inventaire M-1'!D343="Dispo/Liquidité Investie",'Inventaire M-1'!D343="Option/Future",'Inventaire M-1'!D343="TCN",'Inventaire M-1'!D343=""),"-",'Inventaire M-1'!B343)</f>
        <v>-</v>
      </c>
      <c r="T591" s="175"/>
      <c r="U591" s="175" t="str">
        <f>IF(R591="-","",INDEX('Inventaire M-1'!$A$2:$AG$9334,MATCH(R591,'Inventaire M-1'!$A:$A,0)-1,MATCH("Cours EUR",'Inventaire M-1'!#REF!,0)))</f>
        <v/>
      </c>
      <c r="V591" s="175" t="str">
        <f>IF(R591="-","",IF(ISERROR(INDEX('Inventaire M'!$A$2:$AD$9319,MATCH(R591,'Inventaire M'!$A:$A,0)-1,MATCH("Cours EUR",'Inventaire M'!#REF!,0))),"Sell",INDEX('Inventaire M'!$A$2:$AD$9319,MATCH(R591,'Inventaire M'!$A:$A,0)-1,MATCH("Cours EUR",'Inventaire M'!#REF!,0))))</f>
        <v/>
      </c>
      <c r="W591" s="175"/>
      <c r="X591" s="156" t="str">
        <f>IF(R591="-","",INDEX('Inventaire M-1'!$A$2:$AG$9334,MATCH(R591,'Inventaire M-1'!$A:$A,0)-1,MATCH("quantite",'Inventaire M-1'!#REF!,0)))</f>
        <v/>
      </c>
      <c r="Y591" s="156" t="str">
        <f>IF(S591="-","",IF(ISERROR(INDEX('Inventaire M'!$A$2:$AD$9319,MATCH(R591,'Inventaire M'!$A:$A,0)-1,MATCH("quantite",'Inventaire M'!#REF!,0))),"Sell",INDEX('Inventaire M'!$A$2:$AD$9319,MATCH(R591,'Inventaire M'!$A:$A,0)-1,MATCH("quantite",'Inventaire M'!#REF!,0))))</f>
        <v/>
      </c>
      <c r="Z591" s="175"/>
      <c r="AA591" s="155" t="str">
        <f>IF(R591="-","",INDEX('Inventaire M-1'!$A$2:$AG$9334,MATCH(R591,'Inventaire M-1'!$A:$A,0)-1,MATCH("poids",'Inventaire M-1'!#REF!,0)))</f>
        <v/>
      </c>
      <c r="AB591" s="155" t="str">
        <f>IF(R591="-","",IF(ISERROR(INDEX('Inventaire M'!$A$2:$AD$9319,MATCH(R591,'Inventaire M'!$A:$A,0)-1,MATCH("poids",'Inventaire M'!#REF!,0))),"Sell",INDEX('Inventaire M'!$A$2:$AD$9319,MATCH(R591,'Inventaire M'!$A:$A,0)-1,MATCH("poids",'Inventaire M'!#REF!,0))))</f>
        <v/>
      </c>
      <c r="AC591" s="175"/>
      <c r="AD591" s="157" t="str">
        <f t="shared" si="63"/>
        <v>0</v>
      </c>
      <c r="AE591" s="98" t="str">
        <f t="shared" si="64"/>
        <v/>
      </c>
      <c r="AF591" s="80" t="str">
        <f t="shared" si="65"/>
        <v>-</v>
      </c>
    </row>
    <row r="592" spans="2:32" outlineLevel="1">
      <c r="B592" s="175" t="str">
        <f>IF(OR('Inventaire M'!D365="Dispo/Liquidité Investie",'Inventaire M'!D365="Option/Future",'Inventaire M'!D365="TCN",'Inventaire M'!D365=""),"-",'Inventaire M'!A365)</f>
        <v>-</v>
      </c>
      <c r="C592" s="175" t="str">
        <f>IF(OR('Inventaire M'!D365="Dispo/Liquidité Investie",'Inventaire M'!D365="Option/Future",'Inventaire M'!D365="TCN",'Inventaire M'!D365=""),"-",'Inventaire M'!B365)</f>
        <v>-</v>
      </c>
      <c r="D592" s="175"/>
      <c r="E592" s="175" t="str">
        <f>IF(B592="-","",INDEX('Inventaire M'!$A$2:$AW$9305,MATCH(B592,'Inventaire M'!$A:$A,0)-1,MATCH("Cours EUR",'Inventaire M'!#REF!,0)))</f>
        <v/>
      </c>
      <c r="F592" s="175" t="str">
        <f>IF(B592="-","",IF(ISERROR(INDEX('Inventaire M-1'!$A$2:$AZ$9320,MATCH(B592,'Inventaire M-1'!$A:$A,0)-1,MATCH("Cours EUR",'Inventaire M-1'!#REF!,0))),"Buy",INDEX('Inventaire M-1'!$A$2:$AZ$9320,MATCH(B592,'Inventaire M-1'!$A:$A,0)-1,MATCH("Cours EUR",'Inventaire M-1'!#REF!,0))))</f>
        <v/>
      </c>
      <c r="G592" s="175"/>
      <c r="H592" s="156" t="str">
        <f>IF(B592="-","",INDEX('Inventaire M'!$A$2:$AW$9305,MATCH(B592,'Inventaire M'!$A:$A,0)-1,MATCH("quantite",'Inventaire M'!#REF!,0)))</f>
        <v/>
      </c>
      <c r="I592" s="156" t="str">
        <f>IF(C592="-","",IF(ISERROR(INDEX('Inventaire M-1'!$A$2:$AZ$9320,MATCH(B592,'Inventaire M-1'!$A:$A,0)-1,MATCH("quantite",'Inventaire M-1'!#REF!,0))),"Buy",INDEX('Inventaire M-1'!$A$2:$AZ$9320,MATCH(B592,'Inventaire M-1'!$A:$A,0)-1,MATCH("quantite",'Inventaire M-1'!#REF!,0))))</f>
        <v/>
      </c>
      <c r="J592" s="175"/>
      <c r="K592" s="155" t="str">
        <f>IF(B592="-","",INDEX('Inventaire M'!$A$2:$AW$9305,MATCH(B592,'Inventaire M'!$A:$A,0)-1,MATCH("poids",'Inventaire M'!#REF!,0)))</f>
        <v/>
      </c>
      <c r="L592" s="155" t="str">
        <f>IF(B592="-","",IF(ISERROR(INDEX('Inventaire M-1'!$A$2:$AZ$9320,MATCH(B592,'Inventaire M-1'!$A:$A,0)-1,MATCH("poids",'Inventaire M-1'!#REF!,0))),"Buy",INDEX('Inventaire M-1'!$A$2:$AZ$9320,MATCH(B592,'Inventaire M-1'!$A:$A,0)-1,MATCH("poids",'Inventaire M-1'!#REF!,0))))</f>
        <v/>
      </c>
      <c r="M592" s="175"/>
      <c r="N592" s="157" t="str">
        <f t="shared" si="61"/>
        <v>0</v>
      </c>
      <c r="O592" s="98" t="str">
        <f t="shared" si="60"/>
        <v/>
      </c>
      <c r="P592" s="80" t="str">
        <f t="shared" si="62"/>
        <v>-</v>
      </c>
      <c r="Q592" s="75">
        <v>5.6799999999999999E-8</v>
      </c>
      <c r="R592" s="175" t="str">
        <f>IF(OR('Inventaire M-1'!D344="Dispo/Liquidité Investie",'Inventaire M-1'!D344="Option/Future",'Inventaire M-1'!D344="TCN",'Inventaire M-1'!D344=""),"-",'Inventaire M-1'!A344)</f>
        <v>-</v>
      </c>
      <c r="S592" s="175" t="str">
        <f>IF(OR('Inventaire M-1'!D344="Dispo/Liquidité Investie",'Inventaire M-1'!D344="Option/Future",'Inventaire M-1'!D344="TCN",'Inventaire M-1'!D344=""),"-",'Inventaire M-1'!B344)</f>
        <v>-</v>
      </c>
      <c r="T592" s="175"/>
      <c r="U592" s="175" t="str">
        <f>IF(R592="-","",INDEX('Inventaire M-1'!$A$2:$AG$9334,MATCH(R592,'Inventaire M-1'!$A:$A,0)-1,MATCH("Cours EUR",'Inventaire M-1'!#REF!,0)))</f>
        <v/>
      </c>
      <c r="V592" s="175" t="str">
        <f>IF(R592="-","",IF(ISERROR(INDEX('Inventaire M'!$A$2:$AD$9319,MATCH(R592,'Inventaire M'!$A:$A,0)-1,MATCH("Cours EUR",'Inventaire M'!#REF!,0))),"Sell",INDEX('Inventaire M'!$A$2:$AD$9319,MATCH(R592,'Inventaire M'!$A:$A,0)-1,MATCH("Cours EUR",'Inventaire M'!#REF!,0))))</f>
        <v/>
      </c>
      <c r="W592" s="175"/>
      <c r="X592" s="156" t="str">
        <f>IF(R592="-","",INDEX('Inventaire M-1'!$A$2:$AG$9334,MATCH(R592,'Inventaire M-1'!$A:$A,0)-1,MATCH("quantite",'Inventaire M-1'!#REF!,0)))</f>
        <v/>
      </c>
      <c r="Y592" s="156" t="str">
        <f>IF(S592="-","",IF(ISERROR(INDEX('Inventaire M'!$A$2:$AD$9319,MATCH(R592,'Inventaire M'!$A:$A,0)-1,MATCH("quantite",'Inventaire M'!#REF!,0))),"Sell",INDEX('Inventaire M'!$A$2:$AD$9319,MATCH(R592,'Inventaire M'!$A:$A,0)-1,MATCH("quantite",'Inventaire M'!#REF!,0))))</f>
        <v/>
      </c>
      <c r="Z592" s="175"/>
      <c r="AA592" s="155" t="str">
        <f>IF(R592="-","",INDEX('Inventaire M-1'!$A$2:$AG$9334,MATCH(R592,'Inventaire M-1'!$A:$A,0)-1,MATCH("poids",'Inventaire M-1'!#REF!,0)))</f>
        <v/>
      </c>
      <c r="AB592" s="155" t="str">
        <f>IF(R592="-","",IF(ISERROR(INDEX('Inventaire M'!$A$2:$AD$9319,MATCH(R592,'Inventaire M'!$A:$A,0)-1,MATCH("poids",'Inventaire M'!#REF!,0))),"Sell",INDEX('Inventaire M'!$A$2:$AD$9319,MATCH(R592,'Inventaire M'!$A:$A,0)-1,MATCH("poids",'Inventaire M'!#REF!,0))))</f>
        <v/>
      </c>
      <c r="AC592" s="175"/>
      <c r="AD592" s="157" t="str">
        <f t="shared" si="63"/>
        <v>0</v>
      </c>
      <c r="AE592" s="98" t="str">
        <f t="shared" si="64"/>
        <v/>
      </c>
      <c r="AF592" s="80" t="str">
        <f t="shared" si="65"/>
        <v>-</v>
      </c>
    </row>
    <row r="593" spans="2:32" outlineLevel="1">
      <c r="B593" s="175" t="str">
        <f>IF(OR('Inventaire M'!D366="Dispo/Liquidité Investie",'Inventaire M'!D366="Option/Future",'Inventaire M'!D366="TCN",'Inventaire M'!D366=""),"-",'Inventaire M'!A366)</f>
        <v>-</v>
      </c>
      <c r="C593" s="175" t="str">
        <f>IF(OR('Inventaire M'!D366="Dispo/Liquidité Investie",'Inventaire M'!D366="Option/Future",'Inventaire M'!D366="TCN",'Inventaire M'!D366=""),"-",'Inventaire M'!B366)</f>
        <v>-</v>
      </c>
      <c r="D593" s="175"/>
      <c r="E593" s="175" t="str">
        <f>IF(B593="-","",INDEX('Inventaire M'!$A$2:$AW$9305,MATCH(B593,'Inventaire M'!$A:$A,0)-1,MATCH("Cours EUR",'Inventaire M'!#REF!,0)))</f>
        <v/>
      </c>
      <c r="F593" s="175" t="str">
        <f>IF(B593="-","",IF(ISERROR(INDEX('Inventaire M-1'!$A$2:$AZ$9320,MATCH(B593,'Inventaire M-1'!$A:$A,0)-1,MATCH("Cours EUR",'Inventaire M-1'!#REF!,0))),"Buy",INDEX('Inventaire M-1'!$A$2:$AZ$9320,MATCH(B593,'Inventaire M-1'!$A:$A,0)-1,MATCH("Cours EUR",'Inventaire M-1'!#REF!,0))))</f>
        <v/>
      </c>
      <c r="G593" s="175"/>
      <c r="H593" s="156" t="str">
        <f>IF(B593="-","",INDEX('Inventaire M'!$A$2:$AW$9305,MATCH(B593,'Inventaire M'!$A:$A,0)-1,MATCH("quantite",'Inventaire M'!#REF!,0)))</f>
        <v/>
      </c>
      <c r="I593" s="156" t="str">
        <f>IF(C593="-","",IF(ISERROR(INDEX('Inventaire M-1'!$A$2:$AZ$9320,MATCH(B593,'Inventaire M-1'!$A:$A,0)-1,MATCH("quantite",'Inventaire M-1'!#REF!,0))),"Buy",INDEX('Inventaire M-1'!$A$2:$AZ$9320,MATCH(B593,'Inventaire M-1'!$A:$A,0)-1,MATCH("quantite",'Inventaire M-1'!#REF!,0))))</f>
        <v/>
      </c>
      <c r="J593" s="175"/>
      <c r="K593" s="155" t="str">
        <f>IF(B593="-","",INDEX('Inventaire M'!$A$2:$AW$9305,MATCH(B593,'Inventaire M'!$A:$A,0)-1,MATCH("poids",'Inventaire M'!#REF!,0)))</f>
        <v/>
      </c>
      <c r="L593" s="155" t="str">
        <f>IF(B593="-","",IF(ISERROR(INDEX('Inventaire M-1'!$A$2:$AZ$9320,MATCH(B593,'Inventaire M-1'!$A:$A,0)-1,MATCH("poids",'Inventaire M-1'!#REF!,0))),"Buy",INDEX('Inventaire M-1'!$A$2:$AZ$9320,MATCH(B593,'Inventaire M-1'!$A:$A,0)-1,MATCH("poids",'Inventaire M-1'!#REF!,0))))</f>
        <v/>
      </c>
      <c r="M593" s="175"/>
      <c r="N593" s="157" t="str">
        <f t="shared" si="61"/>
        <v>0</v>
      </c>
      <c r="O593" s="98" t="str">
        <f t="shared" si="60"/>
        <v/>
      </c>
      <c r="P593" s="80" t="str">
        <f t="shared" si="62"/>
        <v>-</v>
      </c>
      <c r="Q593" s="75">
        <v>5.69E-8</v>
      </c>
      <c r="R593" s="175" t="str">
        <f>IF(OR('Inventaire M-1'!D345="Dispo/Liquidité Investie",'Inventaire M-1'!D345="Option/Future",'Inventaire M-1'!D345="TCN",'Inventaire M-1'!D345=""),"-",'Inventaire M-1'!A345)</f>
        <v>-</v>
      </c>
      <c r="S593" s="175" t="str">
        <f>IF(OR('Inventaire M-1'!D345="Dispo/Liquidité Investie",'Inventaire M-1'!D345="Option/Future",'Inventaire M-1'!D345="TCN",'Inventaire M-1'!D345=""),"-",'Inventaire M-1'!B345)</f>
        <v>-</v>
      </c>
      <c r="T593" s="175"/>
      <c r="U593" s="175" t="str">
        <f>IF(R593="-","",INDEX('Inventaire M-1'!$A$2:$AG$9334,MATCH(R593,'Inventaire M-1'!$A:$A,0)-1,MATCH("Cours EUR",'Inventaire M-1'!#REF!,0)))</f>
        <v/>
      </c>
      <c r="V593" s="175" t="str">
        <f>IF(R593="-","",IF(ISERROR(INDEX('Inventaire M'!$A$2:$AD$9319,MATCH(R593,'Inventaire M'!$A:$A,0)-1,MATCH("Cours EUR",'Inventaire M'!#REF!,0))),"Sell",INDEX('Inventaire M'!$A$2:$AD$9319,MATCH(R593,'Inventaire M'!$A:$A,0)-1,MATCH("Cours EUR",'Inventaire M'!#REF!,0))))</f>
        <v/>
      </c>
      <c r="W593" s="175"/>
      <c r="X593" s="156" t="str">
        <f>IF(R593="-","",INDEX('Inventaire M-1'!$A$2:$AG$9334,MATCH(R593,'Inventaire M-1'!$A:$A,0)-1,MATCH("quantite",'Inventaire M-1'!#REF!,0)))</f>
        <v/>
      </c>
      <c r="Y593" s="156" t="str">
        <f>IF(S593="-","",IF(ISERROR(INDEX('Inventaire M'!$A$2:$AD$9319,MATCH(R593,'Inventaire M'!$A:$A,0)-1,MATCH("quantite",'Inventaire M'!#REF!,0))),"Sell",INDEX('Inventaire M'!$A$2:$AD$9319,MATCH(R593,'Inventaire M'!$A:$A,0)-1,MATCH("quantite",'Inventaire M'!#REF!,0))))</f>
        <v/>
      </c>
      <c r="Z593" s="175"/>
      <c r="AA593" s="155" t="str">
        <f>IF(R593="-","",INDEX('Inventaire M-1'!$A$2:$AG$9334,MATCH(R593,'Inventaire M-1'!$A:$A,0)-1,MATCH("poids",'Inventaire M-1'!#REF!,0)))</f>
        <v/>
      </c>
      <c r="AB593" s="155" t="str">
        <f>IF(R593="-","",IF(ISERROR(INDEX('Inventaire M'!$A$2:$AD$9319,MATCH(R593,'Inventaire M'!$A:$A,0)-1,MATCH("poids",'Inventaire M'!#REF!,0))),"Sell",INDEX('Inventaire M'!$A$2:$AD$9319,MATCH(R593,'Inventaire M'!$A:$A,0)-1,MATCH("poids",'Inventaire M'!#REF!,0))))</f>
        <v/>
      </c>
      <c r="AC593" s="175"/>
      <c r="AD593" s="157" t="str">
        <f t="shared" si="63"/>
        <v>0</v>
      </c>
      <c r="AE593" s="98" t="str">
        <f t="shared" si="64"/>
        <v/>
      </c>
      <c r="AF593" s="80" t="str">
        <f t="shared" si="65"/>
        <v>-</v>
      </c>
    </row>
    <row r="594" spans="2:32" outlineLevel="1">
      <c r="B594" s="175" t="str">
        <f>IF(OR('Inventaire M'!D367="Dispo/Liquidité Investie",'Inventaire M'!D367="Option/Future",'Inventaire M'!D367="TCN",'Inventaire M'!D367=""),"-",'Inventaire M'!A367)</f>
        <v>-</v>
      </c>
      <c r="C594" s="175" t="str">
        <f>IF(OR('Inventaire M'!D367="Dispo/Liquidité Investie",'Inventaire M'!D367="Option/Future",'Inventaire M'!D367="TCN",'Inventaire M'!D367=""),"-",'Inventaire M'!B367)</f>
        <v>-</v>
      </c>
      <c r="D594" s="175"/>
      <c r="E594" s="175" t="str">
        <f>IF(B594="-","",INDEX('Inventaire M'!$A$2:$AW$9305,MATCH(B594,'Inventaire M'!$A:$A,0)-1,MATCH("Cours EUR",'Inventaire M'!#REF!,0)))</f>
        <v/>
      </c>
      <c r="F594" s="175" t="str">
        <f>IF(B594="-","",IF(ISERROR(INDEX('Inventaire M-1'!$A$2:$AZ$9320,MATCH(B594,'Inventaire M-1'!$A:$A,0)-1,MATCH("Cours EUR",'Inventaire M-1'!#REF!,0))),"Buy",INDEX('Inventaire M-1'!$A$2:$AZ$9320,MATCH(B594,'Inventaire M-1'!$A:$A,0)-1,MATCH("Cours EUR",'Inventaire M-1'!#REF!,0))))</f>
        <v/>
      </c>
      <c r="G594" s="175"/>
      <c r="H594" s="156" t="str">
        <f>IF(B594="-","",INDEX('Inventaire M'!$A$2:$AW$9305,MATCH(B594,'Inventaire M'!$A:$A,0)-1,MATCH("quantite",'Inventaire M'!#REF!,0)))</f>
        <v/>
      </c>
      <c r="I594" s="156" t="str">
        <f>IF(C594="-","",IF(ISERROR(INDEX('Inventaire M-1'!$A$2:$AZ$9320,MATCH(B594,'Inventaire M-1'!$A:$A,0)-1,MATCH("quantite",'Inventaire M-1'!#REF!,0))),"Buy",INDEX('Inventaire M-1'!$A$2:$AZ$9320,MATCH(B594,'Inventaire M-1'!$A:$A,0)-1,MATCH("quantite",'Inventaire M-1'!#REF!,0))))</f>
        <v/>
      </c>
      <c r="J594" s="175"/>
      <c r="K594" s="155" t="str">
        <f>IF(B594="-","",INDEX('Inventaire M'!$A$2:$AW$9305,MATCH(B594,'Inventaire M'!$A:$A,0)-1,MATCH("poids",'Inventaire M'!#REF!,0)))</f>
        <v/>
      </c>
      <c r="L594" s="155" t="str">
        <f>IF(B594="-","",IF(ISERROR(INDEX('Inventaire M-1'!$A$2:$AZ$9320,MATCH(B594,'Inventaire M-1'!$A:$A,0)-1,MATCH("poids",'Inventaire M-1'!#REF!,0))),"Buy",INDEX('Inventaire M-1'!$A$2:$AZ$9320,MATCH(B594,'Inventaire M-1'!$A:$A,0)-1,MATCH("poids",'Inventaire M-1'!#REF!,0))))</f>
        <v/>
      </c>
      <c r="M594" s="175"/>
      <c r="N594" s="157" t="str">
        <f t="shared" si="61"/>
        <v>0</v>
      </c>
      <c r="O594" s="98" t="str">
        <f t="shared" si="60"/>
        <v/>
      </c>
      <c r="P594" s="80" t="str">
        <f t="shared" si="62"/>
        <v>-</v>
      </c>
      <c r="Q594" s="75">
        <v>5.7000000000000001E-8</v>
      </c>
      <c r="R594" s="175" t="str">
        <f>IF(OR('Inventaire M-1'!D346="Dispo/Liquidité Investie",'Inventaire M-1'!D346="Option/Future",'Inventaire M-1'!D346="TCN",'Inventaire M-1'!D346=""),"-",'Inventaire M-1'!A346)</f>
        <v>-</v>
      </c>
      <c r="S594" s="175" t="str">
        <f>IF(OR('Inventaire M-1'!D346="Dispo/Liquidité Investie",'Inventaire M-1'!D346="Option/Future",'Inventaire M-1'!D346="TCN",'Inventaire M-1'!D346=""),"-",'Inventaire M-1'!B346)</f>
        <v>-</v>
      </c>
      <c r="T594" s="175"/>
      <c r="U594" s="175" t="str">
        <f>IF(R594="-","",INDEX('Inventaire M-1'!$A$2:$AG$9334,MATCH(R594,'Inventaire M-1'!$A:$A,0)-1,MATCH("Cours EUR",'Inventaire M-1'!#REF!,0)))</f>
        <v/>
      </c>
      <c r="V594" s="175" t="str">
        <f>IF(R594="-","",IF(ISERROR(INDEX('Inventaire M'!$A$2:$AD$9319,MATCH(R594,'Inventaire M'!$A:$A,0)-1,MATCH("Cours EUR",'Inventaire M'!#REF!,0))),"Sell",INDEX('Inventaire M'!$A$2:$AD$9319,MATCH(R594,'Inventaire M'!$A:$A,0)-1,MATCH("Cours EUR",'Inventaire M'!#REF!,0))))</f>
        <v/>
      </c>
      <c r="W594" s="175"/>
      <c r="X594" s="156" t="str">
        <f>IF(R594="-","",INDEX('Inventaire M-1'!$A$2:$AG$9334,MATCH(R594,'Inventaire M-1'!$A:$A,0)-1,MATCH("quantite",'Inventaire M-1'!#REF!,0)))</f>
        <v/>
      </c>
      <c r="Y594" s="156" t="str">
        <f>IF(S594="-","",IF(ISERROR(INDEX('Inventaire M'!$A$2:$AD$9319,MATCH(R594,'Inventaire M'!$A:$A,0)-1,MATCH("quantite",'Inventaire M'!#REF!,0))),"Sell",INDEX('Inventaire M'!$A$2:$AD$9319,MATCH(R594,'Inventaire M'!$A:$A,0)-1,MATCH("quantite",'Inventaire M'!#REF!,0))))</f>
        <v/>
      </c>
      <c r="Z594" s="175"/>
      <c r="AA594" s="155" t="str">
        <f>IF(R594="-","",INDEX('Inventaire M-1'!$A$2:$AG$9334,MATCH(R594,'Inventaire M-1'!$A:$A,0)-1,MATCH("poids",'Inventaire M-1'!#REF!,0)))</f>
        <v/>
      </c>
      <c r="AB594" s="155" t="str">
        <f>IF(R594="-","",IF(ISERROR(INDEX('Inventaire M'!$A$2:$AD$9319,MATCH(R594,'Inventaire M'!$A:$A,0)-1,MATCH("poids",'Inventaire M'!#REF!,0))),"Sell",INDEX('Inventaire M'!$A$2:$AD$9319,MATCH(R594,'Inventaire M'!$A:$A,0)-1,MATCH("poids",'Inventaire M'!#REF!,0))))</f>
        <v/>
      </c>
      <c r="AC594" s="175"/>
      <c r="AD594" s="157" t="str">
        <f t="shared" si="63"/>
        <v>0</v>
      </c>
      <c r="AE594" s="98" t="str">
        <f t="shared" si="64"/>
        <v/>
      </c>
      <c r="AF594" s="80" t="str">
        <f t="shared" si="65"/>
        <v>-</v>
      </c>
    </row>
    <row r="595" spans="2:32" outlineLevel="1">
      <c r="B595" s="175" t="str">
        <f>IF(OR('Inventaire M'!D368="Dispo/Liquidité Investie",'Inventaire M'!D368="Option/Future",'Inventaire M'!D368="TCN",'Inventaire M'!D368=""),"-",'Inventaire M'!A368)</f>
        <v>-</v>
      </c>
      <c r="C595" s="175" t="str">
        <f>IF(OR('Inventaire M'!D368="Dispo/Liquidité Investie",'Inventaire M'!D368="Option/Future",'Inventaire M'!D368="TCN",'Inventaire M'!D368=""),"-",'Inventaire M'!B368)</f>
        <v>-</v>
      </c>
      <c r="D595" s="175"/>
      <c r="E595" s="175" t="str">
        <f>IF(B595="-","",INDEX('Inventaire M'!$A$2:$AW$9305,MATCH(B595,'Inventaire M'!$A:$A,0)-1,MATCH("Cours EUR",'Inventaire M'!#REF!,0)))</f>
        <v/>
      </c>
      <c r="F595" s="175" t="str">
        <f>IF(B595="-","",IF(ISERROR(INDEX('Inventaire M-1'!$A$2:$AZ$9320,MATCH(B595,'Inventaire M-1'!$A:$A,0)-1,MATCH("Cours EUR",'Inventaire M-1'!#REF!,0))),"Buy",INDEX('Inventaire M-1'!$A$2:$AZ$9320,MATCH(B595,'Inventaire M-1'!$A:$A,0)-1,MATCH("Cours EUR",'Inventaire M-1'!#REF!,0))))</f>
        <v/>
      </c>
      <c r="G595" s="175"/>
      <c r="H595" s="156" t="str">
        <f>IF(B595="-","",INDEX('Inventaire M'!$A$2:$AW$9305,MATCH(B595,'Inventaire M'!$A:$A,0)-1,MATCH("quantite",'Inventaire M'!#REF!,0)))</f>
        <v/>
      </c>
      <c r="I595" s="156" t="str">
        <f>IF(C595="-","",IF(ISERROR(INDEX('Inventaire M-1'!$A$2:$AZ$9320,MATCH(B595,'Inventaire M-1'!$A:$A,0)-1,MATCH("quantite",'Inventaire M-1'!#REF!,0))),"Buy",INDEX('Inventaire M-1'!$A$2:$AZ$9320,MATCH(B595,'Inventaire M-1'!$A:$A,0)-1,MATCH("quantite",'Inventaire M-1'!#REF!,0))))</f>
        <v/>
      </c>
      <c r="J595" s="175"/>
      <c r="K595" s="155" t="str">
        <f>IF(B595="-","",INDEX('Inventaire M'!$A$2:$AW$9305,MATCH(B595,'Inventaire M'!$A:$A,0)-1,MATCH("poids",'Inventaire M'!#REF!,0)))</f>
        <v/>
      </c>
      <c r="L595" s="155" t="str">
        <f>IF(B595="-","",IF(ISERROR(INDEX('Inventaire M-1'!$A$2:$AZ$9320,MATCH(B595,'Inventaire M-1'!$A:$A,0)-1,MATCH("poids",'Inventaire M-1'!#REF!,0))),"Buy",INDEX('Inventaire M-1'!$A$2:$AZ$9320,MATCH(B595,'Inventaire M-1'!$A:$A,0)-1,MATCH("poids",'Inventaire M-1'!#REF!,0))))</f>
        <v/>
      </c>
      <c r="M595" s="175"/>
      <c r="N595" s="157" t="str">
        <f t="shared" si="61"/>
        <v>0</v>
      </c>
      <c r="O595" s="98" t="str">
        <f t="shared" si="60"/>
        <v/>
      </c>
      <c r="P595" s="80" t="str">
        <f t="shared" si="62"/>
        <v>-</v>
      </c>
      <c r="Q595" s="75">
        <v>5.7100000000000002E-8</v>
      </c>
      <c r="R595" s="175" t="str">
        <f>IF(OR('Inventaire M-1'!D347="Dispo/Liquidité Investie",'Inventaire M-1'!D347="Option/Future",'Inventaire M-1'!D347="TCN",'Inventaire M-1'!D347=""),"-",'Inventaire M-1'!A347)</f>
        <v>-</v>
      </c>
      <c r="S595" s="175" t="str">
        <f>IF(OR('Inventaire M-1'!D347="Dispo/Liquidité Investie",'Inventaire M-1'!D347="Option/Future",'Inventaire M-1'!D347="TCN",'Inventaire M-1'!D347=""),"-",'Inventaire M-1'!B347)</f>
        <v>-</v>
      </c>
      <c r="T595" s="175"/>
      <c r="U595" s="175" t="str">
        <f>IF(R595="-","",INDEX('Inventaire M-1'!$A$2:$AG$9334,MATCH(R595,'Inventaire M-1'!$A:$A,0)-1,MATCH("Cours EUR",'Inventaire M-1'!#REF!,0)))</f>
        <v/>
      </c>
      <c r="V595" s="175" t="str">
        <f>IF(R595="-","",IF(ISERROR(INDEX('Inventaire M'!$A$2:$AD$9319,MATCH(R595,'Inventaire M'!$A:$A,0)-1,MATCH("Cours EUR",'Inventaire M'!#REF!,0))),"Sell",INDEX('Inventaire M'!$A$2:$AD$9319,MATCH(R595,'Inventaire M'!$A:$A,0)-1,MATCH("Cours EUR",'Inventaire M'!#REF!,0))))</f>
        <v/>
      </c>
      <c r="W595" s="175"/>
      <c r="X595" s="156" t="str">
        <f>IF(R595="-","",INDEX('Inventaire M-1'!$A$2:$AG$9334,MATCH(R595,'Inventaire M-1'!$A:$A,0)-1,MATCH("quantite",'Inventaire M-1'!#REF!,0)))</f>
        <v/>
      </c>
      <c r="Y595" s="156" t="str">
        <f>IF(S595="-","",IF(ISERROR(INDEX('Inventaire M'!$A$2:$AD$9319,MATCH(R595,'Inventaire M'!$A:$A,0)-1,MATCH("quantite",'Inventaire M'!#REF!,0))),"Sell",INDEX('Inventaire M'!$A$2:$AD$9319,MATCH(R595,'Inventaire M'!$A:$A,0)-1,MATCH("quantite",'Inventaire M'!#REF!,0))))</f>
        <v/>
      </c>
      <c r="Z595" s="175"/>
      <c r="AA595" s="155" t="str">
        <f>IF(R595="-","",INDEX('Inventaire M-1'!$A$2:$AG$9334,MATCH(R595,'Inventaire M-1'!$A:$A,0)-1,MATCH("poids",'Inventaire M-1'!#REF!,0)))</f>
        <v/>
      </c>
      <c r="AB595" s="155" t="str">
        <f>IF(R595="-","",IF(ISERROR(INDEX('Inventaire M'!$A$2:$AD$9319,MATCH(R595,'Inventaire M'!$A:$A,0)-1,MATCH("poids",'Inventaire M'!#REF!,0))),"Sell",INDEX('Inventaire M'!$A$2:$AD$9319,MATCH(R595,'Inventaire M'!$A:$A,0)-1,MATCH("poids",'Inventaire M'!#REF!,0))))</f>
        <v/>
      </c>
      <c r="AC595" s="175"/>
      <c r="AD595" s="157" t="str">
        <f t="shared" si="63"/>
        <v>0</v>
      </c>
      <c r="AE595" s="98" t="str">
        <f t="shared" si="64"/>
        <v/>
      </c>
      <c r="AF595" s="80" t="str">
        <f t="shared" si="65"/>
        <v>-</v>
      </c>
    </row>
    <row r="596" spans="2:32" outlineLevel="1">
      <c r="B596" s="175" t="str">
        <f>IF(OR('Inventaire M'!D369="Dispo/Liquidité Investie",'Inventaire M'!D369="Option/Future",'Inventaire M'!D369="TCN",'Inventaire M'!D369=""),"-",'Inventaire M'!A369)</f>
        <v>-</v>
      </c>
      <c r="C596" s="175" t="str">
        <f>IF(OR('Inventaire M'!D369="Dispo/Liquidité Investie",'Inventaire M'!D369="Option/Future",'Inventaire M'!D369="TCN",'Inventaire M'!D369=""),"-",'Inventaire M'!B369)</f>
        <v>-</v>
      </c>
      <c r="D596" s="175"/>
      <c r="E596" s="175" t="str">
        <f>IF(B596="-","",INDEX('Inventaire M'!$A$2:$AW$9305,MATCH(B596,'Inventaire M'!$A:$A,0)-1,MATCH("Cours EUR",'Inventaire M'!#REF!,0)))</f>
        <v/>
      </c>
      <c r="F596" s="175" t="str">
        <f>IF(B596="-","",IF(ISERROR(INDEX('Inventaire M-1'!$A$2:$AZ$9320,MATCH(B596,'Inventaire M-1'!$A:$A,0)-1,MATCH("Cours EUR",'Inventaire M-1'!#REF!,0))),"Buy",INDEX('Inventaire M-1'!$A$2:$AZ$9320,MATCH(B596,'Inventaire M-1'!$A:$A,0)-1,MATCH("Cours EUR",'Inventaire M-1'!#REF!,0))))</f>
        <v/>
      </c>
      <c r="G596" s="175"/>
      <c r="H596" s="156" t="str">
        <f>IF(B596="-","",INDEX('Inventaire M'!$A$2:$AW$9305,MATCH(B596,'Inventaire M'!$A:$A,0)-1,MATCH("quantite",'Inventaire M'!#REF!,0)))</f>
        <v/>
      </c>
      <c r="I596" s="156" t="str">
        <f>IF(C596="-","",IF(ISERROR(INDEX('Inventaire M-1'!$A$2:$AZ$9320,MATCH(B596,'Inventaire M-1'!$A:$A,0)-1,MATCH("quantite",'Inventaire M-1'!#REF!,0))),"Buy",INDEX('Inventaire M-1'!$A$2:$AZ$9320,MATCH(B596,'Inventaire M-1'!$A:$A,0)-1,MATCH("quantite",'Inventaire M-1'!#REF!,0))))</f>
        <v/>
      </c>
      <c r="J596" s="175"/>
      <c r="K596" s="155" t="str">
        <f>IF(B596="-","",INDEX('Inventaire M'!$A$2:$AW$9305,MATCH(B596,'Inventaire M'!$A:$A,0)-1,MATCH("poids",'Inventaire M'!#REF!,0)))</f>
        <v/>
      </c>
      <c r="L596" s="155" t="str">
        <f>IF(B596="-","",IF(ISERROR(INDEX('Inventaire M-1'!$A$2:$AZ$9320,MATCH(B596,'Inventaire M-1'!$A:$A,0)-1,MATCH("poids",'Inventaire M-1'!#REF!,0))),"Buy",INDEX('Inventaire M-1'!$A$2:$AZ$9320,MATCH(B596,'Inventaire M-1'!$A:$A,0)-1,MATCH("poids",'Inventaire M-1'!#REF!,0))))</f>
        <v/>
      </c>
      <c r="M596" s="175"/>
      <c r="N596" s="157" t="str">
        <f t="shared" si="61"/>
        <v>0</v>
      </c>
      <c r="O596" s="98" t="str">
        <f t="shared" si="60"/>
        <v/>
      </c>
      <c r="P596" s="80" t="str">
        <f t="shared" si="62"/>
        <v>-</v>
      </c>
      <c r="Q596" s="75">
        <v>5.7200000000000003E-8</v>
      </c>
      <c r="R596" s="175" t="str">
        <f>IF(OR('Inventaire M-1'!D348="Dispo/Liquidité Investie",'Inventaire M-1'!D348="Option/Future",'Inventaire M-1'!D348="TCN",'Inventaire M-1'!D348=""),"-",'Inventaire M-1'!A348)</f>
        <v>-</v>
      </c>
      <c r="S596" s="175" t="str">
        <f>IF(OR('Inventaire M-1'!D348="Dispo/Liquidité Investie",'Inventaire M-1'!D348="Option/Future",'Inventaire M-1'!D348="TCN",'Inventaire M-1'!D348=""),"-",'Inventaire M-1'!B348)</f>
        <v>-</v>
      </c>
      <c r="T596" s="175"/>
      <c r="U596" s="175" t="str">
        <f>IF(R596="-","",INDEX('Inventaire M-1'!$A$2:$AG$9334,MATCH(R596,'Inventaire M-1'!$A:$A,0)-1,MATCH("Cours EUR",'Inventaire M-1'!#REF!,0)))</f>
        <v/>
      </c>
      <c r="V596" s="175" t="str">
        <f>IF(R596="-","",IF(ISERROR(INDEX('Inventaire M'!$A$2:$AD$9319,MATCH(R596,'Inventaire M'!$A:$A,0)-1,MATCH("Cours EUR",'Inventaire M'!#REF!,0))),"Sell",INDEX('Inventaire M'!$A$2:$AD$9319,MATCH(R596,'Inventaire M'!$A:$A,0)-1,MATCH("Cours EUR",'Inventaire M'!#REF!,0))))</f>
        <v/>
      </c>
      <c r="W596" s="175"/>
      <c r="X596" s="156" t="str">
        <f>IF(R596="-","",INDEX('Inventaire M-1'!$A$2:$AG$9334,MATCH(R596,'Inventaire M-1'!$A:$A,0)-1,MATCH("quantite",'Inventaire M-1'!#REF!,0)))</f>
        <v/>
      </c>
      <c r="Y596" s="156" t="str">
        <f>IF(S596="-","",IF(ISERROR(INDEX('Inventaire M'!$A$2:$AD$9319,MATCH(R596,'Inventaire M'!$A:$A,0)-1,MATCH("quantite",'Inventaire M'!#REF!,0))),"Sell",INDEX('Inventaire M'!$A$2:$AD$9319,MATCH(R596,'Inventaire M'!$A:$A,0)-1,MATCH("quantite",'Inventaire M'!#REF!,0))))</f>
        <v/>
      </c>
      <c r="Z596" s="175"/>
      <c r="AA596" s="155" t="str">
        <f>IF(R596="-","",INDEX('Inventaire M-1'!$A$2:$AG$9334,MATCH(R596,'Inventaire M-1'!$A:$A,0)-1,MATCH("poids",'Inventaire M-1'!#REF!,0)))</f>
        <v/>
      </c>
      <c r="AB596" s="155" t="str">
        <f>IF(R596="-","",IF(ISERROR(INDEX('Inventaire M'!$A$2:$AD$9319,MATCH(R596,'Inventaire M'!$A:$A,0)-1,MATCH("poids",'Inventaire M'!#REF!,0))),"Sell",INDEX('Inventaire M'!$A$2:$AD$9319,MATCH(R596,'Inventaire M'!$A:$A,0)-1,MATCH("poids",'Inventaire M'!#REF!,0))))</f>
        <v/>
      </c>
      <c r="AC596" s="175"/>
      <c r="AD596" s="157" t="str">
        <f t="shared" si="63"/>
        <v>0</v>
      </c>
      <c r="AE596" s="98" t="str">
        <f t="shared" si="64"/>
        <v/>
      </c>
      <c r="AF596" s="80" t="str">
        <f t="shared" si="65"/>
        <v>-</v>
      </c>
    </row>
    <row r="597" spans="2:32" outlineLevel="1">
      <c r="B597" s="175" t="str">
        <f>IF(OR('Inventaire M'!D370="Dispo/Liquidité Investie",'Inventaire M'!D370="Option/Future",'Inventaire M'!D370="TCN",'Inventaire M'!D370=""),"-",'Inventaire M'!A370)</f>
        <v>-</v>
      </c>
      <c r="C597" s="175" t="str">
        <f>IF(OR('Inventaire M'!D370="Dispo/Liquidité Investie",'Inventaire M'!D370="Option/Future",'Inventaire M'!D370="TCN",'Inventaire M'!D370=""),"-",'Inventaire M'!B370)</f>
        <v>-</v>
      </c>
      <c r="D597" s="175"/>
      <c r="E597" s="175" t="str">
        <f>IF(B597="-","",INDEX('Inventaire M'!$A$2:$AW$9305,MATCH(B597,'Inventaire M'!$A:$A,0)-1,MATCH("Cours EUR",'Inventaire M'!#REF!,0)))</f>
        <v/>
      </c>
      <c r="F597" s="175" t="str">
        <f>IF(B597="-","",IF(ISERROR(INDEX('Inventaire M-1'!$A$2:$AZ$9320,MATCH(B597,'Inventaire M-1'!$A:$A,0)-1,MATCH("Cours EUR",'Inventaire M-1'!#REF!,0))),"Buy",INDEX('Inventaire M-1'!$A$2:$AZ$9320,MATCH(B597,'Inventaire M-1'!$A:$A,0)-1,MATCH("Cours EUR",'Inventaire M-1'!#REF!,0))))</f>
        <v/>
      </c>
      <c r="G597" s="175"/>
      <c r="H597" s="156" t="str">
        <f>IF(B597="-","",INDEX('Inventaire M'!$A$2:$AW$9305,MATCH(B597,'Inventaire M'!$A:$A,0)-1,MATCH("quantite",'Inventaire M'!#REF!,0)))</f>
        <v/>
      </c>
      <c r="I597" s="156" t="str">
        <f>IF(C597="-","",IF(ISERROR(INDEX('Inventaire M-1'!$A$2:$AZ$9320,MATCH(B597,'Inventaire M-1'!$A:$A,0)-1,MATCH("quantite",'Inventaire M-1'!#REF!,0))),"Buy",INDEX('Inventaire M-1'!$A$2:$AZ$9320,MATCH(B597,'Inventaire M-1'!$A:$A,0)-1,MATCH("quantite",'Inventaire M-1'!#REF!,0))))</f>
        <v/>
      </c>
      <c r="J597" s="175"/>
      <c r="K597" s="155" t="str">
        <f>IF(B597="-","",INDEX('Inventaire M'!$A$2:$AW$9305,MATCH(B597,'Inventaire M'!$A:$A,0)-1,MATCH("poids",'Inventaire M'!#REF!,0)))</f>
        <v/>
      </c>
      <c r="L597" s="155" t="str">
        <f>IF(B597="-","",IF(ISERROR(INDEX('Inventaire M-1'!$A$2:$AZ$9320,MATCH(B597,'Inventaire M-1'!$A:$A,0)-1,MATCH("poids",'Inventaire M-1'!#REF!,0))),"Buy",INDEX('Inventaire M-1'!$A$2:$AZ$9320,MATCH(B597,'Inventaire M-1'!$A:$A,0)-1,MATCH("poids",'Inventaire M-1'!#REF!,0))))</f>
        <v/>
      </c>
      <c r="M597" s="175"/>
      <c r="N597" s="157" t="str">
        <f t="shared" si="61"/>
        <v>0</v>
      </c>
      <c r="O597" s="98" t="str">
        <f t="shared" si="60"/>
        <v/>
      </c>
      <c r="P597" s="80" t="str">
        <f t="shared" si="62"/>
        <v>-</v>
      </c>
      <c r="Q597" s="75">
        <v>5.7299999999999997E-8</v>
      </c>
      <c r="R597" s="175" t="str">
        <f>IF(OR('Inventaire M-1'!D349="Dispo/Liquidité Investie",'Inventaire M-1'!D349="Option/Future",'Inventaire M-1'!D349="TCN",'Inventaire M-1'!D349=""),"-",'Inventaire M-1'!A349)</f>
        <v>-</v>
      </c>
      <c r="S597" s="175" t="str">
        <f>IF(OR('Inventaire M-1'!D349="Dispo/Liquidité Investie",'Inventaire M-1'!D349="Option/Future",'Inventaire M-1'!D349="TCN",'Inventaire M-1'!D349=""),"-",'Inventaire M-1'!B349)</f>
        <v>-</v>
      </c>
      <c r="T597" s="175"/>
      <c r="U597" s="175" t="str">
        <f>IF(R597="-","",INDEX('Inventaire M-1'!$A$2:$AG$9334,MATCH(R597,'Inventaire M-1'!$A:$A,0)-1,MATCH("Cours EUR",'Inventaire M-1'!#REF!,0)))</f>
        <v/>
      </c>
      <c r="V597" s="175" t="str">
        <f>IF(R597="-","",IF(ISERROR(INDEX('Inventaire M'!$A$2:$AD$9319,MATCH(R597,'Inventaire M'!$A:$A,0)-1,MATCH("Cours EUR",'Inventaire M'!#REF!,0))),"Sell",INDEX('Inventaire M'!$A$2:$AD$9319,MATCH(R597,'Inventaire M'!$A:$A,0)-1,MATCH("Cours EUR",'Inventaire M'!#REF!,0))))</f>
        <v/>
      </c>
      <c r="W597" s="175"/>
      <c r="X597" s="156" t="str">
        <f>IF(R597="-","",INDEX('Inventaire M-1'!$A$2:$AG$9334,MATCH(R597,'Inventaire M-1'!$A:$A,0)-1,MATCH("quantite",'Inventaire M-1'!#REF!,0)))</f>
        <v/>
      </c>
      <c r="Y597" s="156" t="str">
        <f>IF(S597="-","",IF(ISERROR(INDEX('Inventaire M'!$A$2:$AD$9319,MATCH(R597,'Inventaire M'!$A:$A,0)-1,MATCH("quantite",'Inventaire M'!#REF!,0))),"Sell",INDEX('Inventaire M'!$A$2:$AD$9319,MATCH(R597,'Inventaire M'!$A:$A,0)-1,MATCH("quantite",'Inventaire M'!#REF!,0))))</f>
        <v/>
      </c>
      <c r="Z597" s="175"/>
      <c r="AA597" s="155" t="str">
        <f>IF(R597="-","",INDEX('Inventaire M-1'!$A$2:$AG$9334,MATCH(R597,'Inventaire M-1'!$A:$A,0)-1,MATCH("poids",'Inventaire M-1'!#REF!,0)))</f>
        <v/>
      </c>
      <c r="AB597" s="155" t="str">
        <f>IF(R597="-","",IF(ISERROR(INDEX('Inventaire M'!$A$2:$AD$9319,MATCH(R597,'Inventaire M'!$A:$A,0)-1,MATCH("poids",'Inventaire M'!#REF!,0))),"Sell",INDEX('Inventaire M'!$A$2:$AD$9319,MATCH(R597,'Inventaire M'!$A:$A,0)-1,MATCH("poids",'Inventaire M'!#REF!,0))))</f>
        <v/>
      </c>
      <c r="AC597" s="175"/>
      <c r="AD597" s="157" t="str">
        <f t="shared" si="63"/>
        <v>0</v>
      </c>
      <c r="AE597" s="98" t="str">
        <f t="shared" si="64"/>
        <v/>
      </c>
      <c r="AF597" s="80" t="str">
        <f t="shared" si="65"/>
        <v>-</v>
      </c>
    </row>
    <row r="598" spans="2:32" outlineLevel="1">
      <c r="B598" s="175" t="str">
        <f>IF(OR('Inventaire M'!D371="Dispo/Liquidité Investie",'Inventaire M'!D371="Option/Future",'Inventaire M'!D371="TCN",'Inventaire M'!D371=""),"-",'Inventaire M'!A371)</f>
        <v>-</v>
      </c>
      <c r="C598" s="175" t="str">
        <f>IF(OR('Inventaire M'!D371="Dispo/Liquidité Investie",'Inventaire M'!D371="Option/Future",'Inventaire M'!D371="TCN",'Inventaire M'!D371=""),"-",'Inventaire M'!B371)</f>
        <v>-</v>
      </c>
      <c r="D598" s="175"/>
      <c r="E598" s="175" t="str">
        <f>IF(B598="-","",INDEX('Inventaire M'!$A$2:$AW$9305,MATCH(B598,'Inventaire M'!$A:$A,0)-1,MATCH("Cours EUR",'Inventaire M'!#REF!,0)))</f>
        <v/>
      </c>
      <c r="F598" s="175" t="str">
        <f>IF(B598="-","",IF(ISERROR(INDEX('Inventaire M-1'!$A$2:$AZ$9320,MATCH(B598,'Inventaire M-1'!$A:$A,0)-1,MATCH("Cours EUR",'Inventaire M-1'!#REF!,0))),"Buy",INDEX('Inventaire M-1'!$A$2:$AZ$9320,MATCH(B598,'Inventaire M-1'!$A:$A,0)-1,MATCH("Cours EUR",'Inventaire M-1'!#REF!,0))))</f>
        <v/>
      </c>
      <c r="G598" s="175"/>
      <c r="H598" s="156" t="str">
        <f>IF(B598="-","",INDEX('Inventaire M'!$A$2:$AW$9305,MATCH(B598,'Inventaire M'!$A:$A,0)-1,MATCH("quantite",'Inventaire M'!#REF!,0)))</f>
        <v/>
      </c>
      <c r="I598" s="156" t="str">
        <f>IF(C598="-","",IF(ISERROR(INDEX('Inventaire M-1'!$A$2:$AZ$9320,MATCH(B598,'Inventaire M-1'!$A:$A,0)-1,MATCH("quantite",'Inventaire M-1'!#REF!,0))),"Buy",INDEX('Inventaire M-1'!$A$2:$AZ$9320,MATCH(B598,'Inventaire M-1'!$A:$A,0)-1,MATCH("quantite",'Inventaire M-1'!#REF!,0))))</f>
        <v/>
      </c>
      <c r="J598" s="175"/>
      <c r="K598" s="155" t="str">
        <f>IF(B598="-","",INDEX('Inventaire M'!$A$2:$AW$9305,MATCH(B598,'Inventaire M'!$A:$A,0)-1,MATCH("poids",'Inventaire M'!#REF!,0)))</f>
        <v/>
      </c>
      <c r="L598" s="155" t="str">
        <f>IF(B598="-","",IF(ISERROR(INDEX('Inventaire M-1'!$A$2:$AZ$9320,MATCH(B598,'Inventaire M-1'!$A:$A,0)-1,MATCH("poids",'Inventaire M-1'!#REF!,0))),"Buy",INDEX('Inventaire M-1'!$A$2:$AZ$9320,MATCH(B598,'Inventaire M-1'!$A:$A,0)-1,MATCH("poids",'Inventaire M-1'!#REF!,0))))</f>
        <v/>
      </c>
      <c r="M598" s="175"/>
      <c r="N598" s="157" t="str">
        <f t="shared" si="61"/>
        <v>0</v>
      </c>
      <c r="O598" s="98" t="str">
        <f t="shared" si="60"/>
        <v/>
      </c>
      <c r="P598" s="80" t="str">
        <f t="shared" si="62"/>
        <v>-</v>
      </c>
      <c r="Q598" s="75">
        <v>5.7399999999999998E-8</v>
      </c>
      <c r="R598" s="175" t="str">
        <f>IF(OR('Inventaire M-1'!D350="Dispo/Liquidité Investie",'Inventaire M-1'!D350="Option/Future",'Inventaire M-1'!D350="TCN",'Inventaire M-1'!D350=""),"-",'Inventaire M-1'!A350)</f>
        <v>-</v>
      </c>
      <c r="S598" s="175" t="str">
        <f>IF(OR('Inventaire M-1'!D350="Dispo/Liquidité Investie",'Inventaire M-1'!D350="Option/Future",'Inventaire M-1'!D350="TCN",'Inventaire M-1'!D350=""),"-",'Inventaire M-1'!B350)</f>
        <v>-</v>
      </c>
      <c r="T598" s="175"/>
      <c r="U598" s="175" t="str">
        <f>IF(R598="-","",INDEX('Inventaire M-1'!$A$2:$AG$9334,MATCH(R598,'Inventaire M-1'!$A:$A,0)-1,MATCH("Cours EUR",'Inventaire M-1'!#REF!,0)))</f>
        <v/>
      </c>
      <c r="V598" s="175" t="str">
        <f>IF(R598="-","",IF(ISERROR(INDEX('Inventaire M'!$A$2:$AD$9319,MATCH(R598,'Inventaire M'!$A:$A,0)-1,MATCH("Cours EUR",'Inventaire M'!#REF!,0))),"Sell",INDEX('Inventaire M'!$A$2:$AD$9319,MATCH(R598,'Inventaire M'!$A:$A,0)-1,MATCH("Cours EUR",'Inventaire M'!#REF!,0))))</f>
        <v/>
      </c>
      <c r="W598" s="175"/>
      <c r="X598" s="156" t="str">
        <f>IF(R598="-","",INDEX('Inventaire M-1'!$A$2:$AG$9334,MATCH(R598,'Inventaire M-1'!$A:$A,0)-1,MATCH("quantite",'Inventaire M-1'!#REF!,0)))</f>
        <v/>
      </c>
      <c r="Y598" s="156" t="str">
        <f>IF(S598="-","",IF(ISERROR(INDEX('Inventaire M'!$A$2:$AD$9319,MATCH(R598,'Inventaire M'!$A:$A,0)-1,MATCH("quantite",'Inventaire M'!#REF!,0))),"Sell",INDEX('Inventaire M'!$A$2:$AD$9319,MATCH(R598,'Inventaire M'!$A:$A,0)-1,MATCH("quantite",'Inventaire M'!#REF!,0))))</f>
        <v/>
      </c>
      <c r="Z598" s="175"/>
      <c r="AA598" s="155" t="str">
        <f>IF(R598="-","",INDEX('Inventaire M-1'!$A$2:$AG$9334,MATCH(R598,'Inventaire M-1'!$A:$A,0)-1,MATCH("poids",'Inventaire M-1'!#REF!,0)))</f>
        <v/>
      </c>
      <c r="AB598" s="155" t="str">
        <f>IF(R598="-","",IF(ISERROR(INDEX('Inventaire M'!$A$2:$AD$9319,MATCH(R598,'Inventaire M'!$A:$A,0)-1,MATCH("poids",'Inventaire M'!#REF!,0))),"Sell",INDEX('Inventaire M'!$A$2:$AD$9319,MATCH(R598,'Inventaire M'!$A:$A,0)-1,MATCH("poids",'Inventaire M'!#REF!,0))))</f>
        <v/>
      </c>
      <c r="AC598" s="175"/>
      <c r="AD598" s="157" t="str">
        <f t="shared" si="63"/>
        <v>0</v>
      </c>
      <c r="AE598" s="98" t="str">
        <f t="shared" si="64"/>
        <v/>
      </c>
      <c r="AF598" s="80" t="str">
        <f t="shared" si="65"/>
        <v>-</v>
      </c>
    </row>
    <row r="599" spans="2:32" outlineLevel="1">
      <c r="B599" s="175" t="str">
        <f>IF(OR('Inventaire M'!D372="Dispo/Liquidité Investie",'Inventaire M'!D372="Option/Future",'Inventaire M'!D372="TCN",'Inventaire M'!D372=""),"-",'Inventaire M'!A372)</f>
        <v>-</v>
      </c>
      <c r="C599" s="175" t="str">
        <f>IF(OR('Inventaire M'!D372="Dispo/Liquidité Investie",'Inventaire M'!D372="Option/Future",'Inventaire M'!D372="TCN",'Inventaire M'!D372=""),"-",'Inventaire M'!B372)</f>
        <v>-</v>
      </c>
      <c r="D599" s="175"/>
      <c r="E599" s="175" t="str">
        <f>IF(B599="-","",INDEX('Inventaire M'!$A$2:$AW$9305,MATCH(B599,'Inventaire M'!$A:$A,0)-1,MATCH("Cours EUR",'Inventaire M'!#REF!,0)))</f>
        <v/>
      </c>
      <c r="F599" s="175" t="str">
        <f>IF(B599="-","",IF(ISERROR(INDEX('Inventaire M-1'!$A$2:$AZ$9320,MATCH(B599,'Inventaire M-1'!$A:$A,0)-1,MATCH("Cours EUR",'Inventaire M-1'!#REF!,0))),"Buy",INDEX('Inventaire M-1'!$A$2:$AZ$9320,MATCH(B599,'Inventaire M-1'!$A:$A,0)-1,MATCH("Cours EUR",'Inventaire M-1'!#REF!,0))))</f>
        <v/>
      </c>
      <c r="G599" s="175"/>
      <c r="H599" s="156" t="str">
        <f>IF(B599="-","",INDEX('Inventaire M'!$A$2:$AW$9305,MATCH(B599,'Inventaire M'!$A:$A,0)-1,MATCH("quantite",'Inventaire M'!#REF!,0)))</f>
        <v/>
      </c>
      <c r="I599" s="156" t="str">
        <f>IF(C599="-","",IF(ISERROR(INDEX('Inventaire M-1'!$A$2:$AZ$9320,MATCH(B599,'Inventaire M-1'!$A:$A,0)-1,MATCH("quantite",'Inventaire M-1'!#REF!,0))),"Buy",INDEX('Inventaire M-1'!$A$2:$AZ$9320,MATCH(B599,'Inventaire M-1'!$A:$A,0)-1,MATCH("quantite",'Inventaire M-1'!#REF!,0))))</f>
        <v/>
      </c>
      <c r="J599" s="175"/>
      <c r="K599" s="155" t="str">
        <f>IF(B599="-","",INDEX('Inventaire M'!$A$2:$AW$9305,MATCH(B599,'Inventaire M'!$A:$A,0)-1,MATCH("poids",'Inventaire M'!#REF!,0)))</f>
        <v/>
      </c>
      <c r="L599" s="155" t="str">
        <f>IF(B599="-","",IF(ISERROR(INDEX('Inventaire M-1'!$A$2:$AZ$9320,MATCH(B599,'Inventaire M-1'!$A:$A,0)-1,MATCH("poids",'Inventaire M-1'!#REF!,0))),"Buy",INDEX('Inventaire M-1'!$A$2:$AZ$9320,MATCH(B599,'Inventaire M-1'!$A:$A,0)-1,MATCH("poids",'Inventaire M-1'!#REF!,0))))</f>
        <v/>
      </c>
      <c r="M599" s="175"/>
      <c r="N599" s="157" t="str">
        <f t="shared" si="61"/>
        <v>0</v>
      </c>
      <c r="O599" s="98" t="str">
        <f t="shared" si="60"/>
        <v/>
      </c>
      <c r="P599" s="80" t="str">
        <f t="shared" si="62"/>
        <v>-</v>
      </c>
      <c r="Q599" s="75">
        <v>5.7499999999999999E-8</v>
      </c>
      <c r="R599" s="175" t="str">
        <f>IF(OR('Inventaire M-1'!D351="Dispo/Liquidité Investie",'Inventaire M-1'!D351="Option/Future",'Inventaire M-1'!D351="TCN",'Inventaire M-1'!D351=""),"-",'Inventaire M-1'!A351)</f>
        <v>-</v>
      </c>
      <c r="S599" s="175" t="str">
        <f>IF(OR('Inventaire M-1'!D351="Dispo/Liquidité Investie",'Inventaire M-1'!D351="Option/Future",'Inventaire M-1'!D351="TCN",'Inventaire M-1'!D351=""),"-",'Inventaire M-1'!B351)</f>
        <v>-</v>
      </c>
      <c r="T599" s="175"/>
      <c r="U599" s="175" t="str">
        <f>IF(R599="-","",INDEX('Inventaire M-1'!$A$2:$AG$9334,MATCH(R599,'Inventaire M-1'!$A:$A,0)-1,MATCH("Cours EUR",'Inventaire M-1'!#REF!,0)))</f>
        <v/>
      </c>
      <c r="V599" s="175" t="str">
        <f>IF(R599="-","",IF(ISERROR(INDEX('Inventaire M'!$A$2:$AD$9319,MATCH(R599,'Inventaire M'!$A:$A,0)-1,MATCH("Cours EUR",'Inventaire M'!#REF!,0))),"Sell",INDEX('Inventaire M'!$A$2:$AD$9319,MATCH(R599,'Inventaire M'!$A:$A,0)-1,MATCH("Cours EUR",'Inventaire M'!#REF!,0))))</f>
        <v/>
      </c>
      <c r="W599" s="175"/>
      <c r="X599" s="156" t="str">
        <f>IF(R599="-","",INDEX('Inventaire M-1'!$A$2:$AG$9334,MATCH(R599,'Inventaire M-1'!$A:$A,0)-1,MATCH("quantite",'Inventaire M-1'!#REF!,0)))</f>
        <v/>
      </c>
      <c r="Y599" s="156" t="str">
        <f>IF(S599="-","",IF(ISERROR(INDEX('Inventaire M'!$A$2:$AD$9319,MATCH(R599,'Inventaire M'!$A:$A,0)-1,MATCH("quantite",'Inventaire M'!#REF!,0))),"Sell",INDEX('Inventaire M'!$A$2:$AD$9319,MATCH(R599,'Inventaire M'!$A:$A,0)-1,MATCH("quantite",'Inventaire M'!#REF!,0))))</f>
        <v/>
      </c>
      <c r="Z599" s="175"/>
      <c r="AA599" s="155" t="str">
        <f>IF(R599="-","",INDEX('Inventaire M-1'!$A$2:$AG$9334,MATCH(R599,'Inventaire M-1'!$A:$A,0)-1,MATCH("poids",'Inventaire M-1'!#REF!,0)))</f>
        <v/>
      </c>
      <c r="AB599" s="155" t="str">
        <f>IF(R599="-","",IF(ISERROR(INDEX('Inventaire M'!$A$2:$AD$9319,MATCH(R599,'Inventaire M'!$A:$A,0)-1,MATCH("poids",'Inventaire M'!#REF!,0))),"Sell",INDEX('Inventaire M'!$A$2:$AD$9319,MATCH(R599,'Inventaire M'!$A:$A,0)-1,MATCH("poids",'Inventaire M'!#REF!,0))))</f>
        <v/>
      </c>
      <c r="AC599" s="175"/>
      <c r="AD599" s="157" t="str">
        <f t="shared" si="63"/>
        <v>0</v>
      </c>
      <c r="AE599" s="98" t="str">
        <f t="shared" si="64"/>
        <v/>
      </c>
      <c r="AF599" s="80" t="str">
        <f t="shared" si="65"/>
        <v>-</v>
      </c>
    </row>
    <row r="600" spans="2:32" outlineLevel="1">
      <c r="B600" s="175" t="str">
        <f>IF(OR('Inventaire M'!D373="Dispo/Liquidité Investie",'Inventaire M'!D373="Option/Future",'Inventaire M'!D373="TCN",'Inventaire M'!D373=""),"-",'Inventaire M'!A373)</f>
        <v>-</v>
      </c>
      <c r="C600" s="175" t="str">
        <f>IF(OR('Inventaire M'!D373="Dispo/Liquidité Investie",'Inventaire M'!D373="Option/Future",'Inventaire M'!D373="TCN",'Inventaire M'!D373=""),"-",'Inventaire M'!B373)</f>
        <v>-</v>
      </c>
      <c r="D600" s="175"/>
      <c r="E600" s="175" t="str">
        <f>IF(B600="-","",INDEX('Inventaire M'!$A$2:$AW$9305,MATCH(B600,'Inventaire M'!$A:$A,0)-1,MATCH("Cours EUR",'Inventaire M'!#REF!,0)))</f>
        <v/>
      </c>
      <c r="F600" s="175" t="str">
        <f>IF(B600="-","",IF(ISERROR(INDEX('Inventaire M-1'!$A$2:$AZ$9320,MATCH(B600,'Inventaire M-1'!$A:$A,0)-1,MATCH("Cours EUR",'Inventaire M-1'!#REF!,0))),"Buy",INDEX('Inventaire M-1'!$A$2:$AZ$9320,MATCH(B600,'Inventaire M-1'!$A:$A,0)-1,MATCH("Cours EUR",'Inventaire M-1'!#REF!,0))))</f>
        <v/>
      </c>
      <c r="G600" s="175"/>
      <c r="H600" s="156" t="str">
        <f>IF(B600="-","",INDEX('Inventaire M'!$A$2:$AW$9305,MATCH(B600,'Inventaire M'!$A:$A,0)-1,MATCH("quantite",'Inventaire M'!#REF!,0)))</f>
        <v/>
      </c>
      <c r="I600" s="156" t="str">
        <f>IF(C600="-","",IF(ISERROR(INDEX('Inventaire M-1'!$A$2:$AZ$9320,MATCH(B600,'Inventaire M-1'!$A:$A,0)-1,MATCH("quantite",'Inventaire M-1'!#REF!,0))),"Buy",INDEX('Inventaire M-1'!$A$2:$AZ$9320,MATCH(B600,'Inventaire M-1'!$A:$A,0)-1,MATCH("quantite",'Inventaire M-1'!#REF!,0))))</f>
        <v/>
      </c>
      <c r="J600" s="175"/>
      <c r="K600" s="155" t="str">
        <f>IF(B600="-","",INDEX('Inventaire M'!$A$2:$AW$9305,MATCH(B600,'Inventaire M'!$A:$A,0)-1,MATCH("poids",'Inventaire M'!#REF!,0)))</f>
        <v/>
      </c>
      <c r="L600" s="155" t="str">
        <f>IF(B600="-","",IF(ISERROR(INDEX('Inventaire M-1'!$A$2:$AZ$9320,MATCH(B600,'Inventaire M-1'!$A:$A,0)-1,MATCH("poids",'Inventaire M-1'!#REF!,0))),"Buy",INDEX('Inventaire M-1'!$A$2:$AZ$9320,MATCH(B600,'Inventaire M-1'!$A:$A,0)-1,MATCH("poids",'Inventaire M-1'!#REF!,0))))</f>
        <v/>
      </c>
      <c r="M600" s="175"/>
      <c r="N600" s="157" t="str">
        <f t="shared" si="61"/>
        <v>0</v>
      </c>
      <c r="O600" s="98" t="str">
        <f t="shared" si="60"/>
        <v/>
      </c>
      <c r="P600" s="80" t="str">
        <f t="shared" si="62"/>
        <v>-</v>
      </c>
      <c r="Q600" s="75">
        <v>5.76E-8</v>
      </c>
      <c r="R600" s="175" t="str">
        <f>IF(OR('Inventaire M-1'!D352="Dispo/Liquidité Investie",'Inventaire M-1'!D352="Option/Future",'Inventaire M-1'!D352="TCN",'Inventaire M-1'!D352=""),"-",'Inventaire M-1'!A352)</f>
        <v>-</v>
      </c>
      <c r="S600" s="175" t="str">
        <f>IF(OR('Inventaire M-1'!D352="Dispo/Liquidité Investie",'Inventaire M-1'!D352="Option/Future",'Inventaire M-1'!D352="TCN",'Inventaire M-1'!D352=""),"-",'Inventaire M-1'!B352)</f>
        <v>-</v>
      </c>
      <c r="T600" s="175"/>
      <c r="U600" s="175" t="str">
        <f>IF(R600="-","",INDEX('Inventaire M-1'!$A$2:$AG$9334,MATCH(R600,'Inventaire M-1'!$A:$A,0)-1,MATCH("Cours EUR",'Inventaire M-1'!#REF!,0)))</f>
        <v/>
      </c>
      <c r="V600" s="175" t="str">
        <f>IF(R600="-","",IF(ISERROR(INDEX('Inventaire M'!$A$2:$AD$9319,MATCH(R600,'Inventaire M'!$A:$A,0)-1,MATCH("Cours EUR",'Inventaire M'!#REF!,0))),"Sell",INDEX('Inventaire M'!$A$2:$AD$9319,MATCH(R600,'Inventaire M'!$A:$A,0)-1,MATCH("Cours EUR",'Inventaire M'!#REF!,0))))</f>
        <v/>
      </c>
      <c r="W600" s="175"/>
      <c r="X600" s="156" t="str">
        <f>IF(R600="-","",INDEX('Inventaire M-1'!$A$2:$AG$9334,MATCH(R600,'Inventaire M-1'!$A:$A,0)-1,MATCH("quantite",'Inventaire M-1'!#REF!,0)))</f>
        <v/>
      </c>
      <c r="Y600" s="156" t="str">
        <f>IF(S600="-","",IF(ISERROR(INDEX('Inventaire M'!$A$2:$AD$9319,MATCH(R600,'Inventaire M'!$A:$A,0)-1,MATCH("quantite",'Inventaire M'!#REF!,0))),"Sell",INDEX('Inventaire M'!$A$2:$AD$9319,MATCH(R600,'Inventaire M'!$A:$A,0)-1,MATCH("quantite",'Inventaire M'!#REF!,0))))</f>
        <v/>
      </c>
      <c r="Z600" s="175"/>
      <c r="AA600" s="155" t="str">
        <f>IF(R600="-","",INDEX('Inventaire M-1'!$A$2:$AG$9334,MATCH(R600,'Inventaire M-1'!$A:$A,0)-1,MATCH("poids",'Inventaire M-1'!#REF!,0)))</f>
        <v/>
      </c>
      <c r="AB600" s="155" t="str">
        <f>IF(R600="-","",IF(ISERROR(INDEX('Inventaire M'!$A$2:$AD$9319,MATCH(R600,'Inventaire M'!$A:$A,0)-1,MATCH("poids",'Inventaire M'!#REF!,0))),"Sell",INDEX('Inventaire M'!$A$2:$AD$9319,MATCH(R600,'Inventaire M'!$A:$A,0)-1,MATCH("poids",'Inventaire M'!#REF!,0))))</f>
        <v/>
      </c>
      <c r="AC600" s="175"/>
      <c r="AD600" s="157" t="str">
        <f t="shared" si="63"/>
        <v>0</v>
      </c>
      <c r="AE600" s="98" t="str">
        <f t="shared" si="64"/>
        <v/>
      </c>
      <c r="AF600" s="80" t="str">
        <f t="shared" si="65"/>
        <v>-</v>
      </c>
    </row>
    <row r="601" spans="2:32" outlineLevel="1">
      <c r="B601" s="175" t="str">
        <f>IF(OR('Inventaire M'!D374="Dispo/Liquidité Investie",'Inventaire M'!D374="Option/Future",'Inventaire M'!D374="TCN",'Inventaire M'!D374=""),"-",'Inventaire M'!A374)</f>
        <v>-</v>
      </c>
      <c r="C601" s="175" t="str">
        <f>IF(OR('Inventaire M'!D374="Dispo/Liquidité Investie",'Inventaire M'!D374="Option/Future",'Inventaire M'!D374="TCN",'Inventaire M'!D374=""),"-",'Inventaire M'!B374)</f>
        <v>-</v>
      </c>
      <c r="D601" s="175"/>
      <c r="E601" s="175" t="str">
        <f>IF(B601="-","",INDEX('Inventaire M'!$A$2:$AW$9305,MATCH(B601,'Inventaire M'!$A:$A,0)-1,MATCH("Cours EUR",'Inventaire M'!#REF!,0)))</f>
        <v/>
      </c>
      <c r="F601" s="175" t="str">
        <f>IF(B601="-","",IF(ISERROR(INDEX('Inventaire M-1'!$A$2:$AZ$9320,MATCH(B601,'Inventaire M-1'!$A:$A,0)-1,MATCH("Cours EUR",'Inventaire M-1'!#REF!,0))),"Buy",INDEX('Inventaire M-1'!$A$2:$AZ$9320,MATCH(B601,'Inventaire M-1'!$A:$A,0)-1,MATCH("Cours EUR",'Inventaire M-1'!#REF!,0))))</f>
        <v/>
      </c>
      <c r="G601" s="175"/>
      <c r="H601" s="156" t="str">
        <f>IF(B601="-","",INDEX('Inventaire M'!$A$2:$AW$9305,MATCH(B601,'Inventaire M'!$A:$A,0)-1,MATCH("quantite",'Inventaire M'!#REF!,0)))</f>
        <v/>
      </c>
      <c r="I601" s="156" t="str">
        <f>IF(C601="-","",IF(ISERROR(INDEX('Inventaire M-1'!$A$2:$AZ$9320,MATCH(B601,'Inventaire M-1'!$A:$A,0)-1,MATCH("quantite",'Inventaire M-1'!#REF!,0))),"Buy",INDEX('Inventaire M-1'!$A$2:$AZ$9320,MATCH(B601,'Inventaire M-1'!$A:$A,0)-1,MATCH("quantite",'Inventaire M-1'!#REF!,0))))</f>
        <v/>
      </c>
      <c r="J601" s="175"/>
      <c r="K601" s="155" t="str">
        <f>IF(B601="-","",INDEX('Inventaire M'!$A$2:$AW$9305,MATCH(B601,'Inventaire M'!$A:$A,0)-1,MATCH("poids",'Inventaire M'!#REF!,0)))</f>
        <v/>
      </c>
      <c r="L601" s="155" t="str">
        <f>IF(B601="-","",IF(ISERROR(INDEX('Inventaire M-1'!$A$2:$AZ$9320,MATCH(B601,'Inventaire M-1'!$A:$A,0)-1,MATCH("poids",'Inventaire M-1'!#REF!,0))),"Buy",INDEX('Inventaire M-1'!$A$2:$AZ$9320,MATCH(B601,'Inventaire M-1'!$A:$A,0)-1,MATCH("poids",'Inventaire M-1'!#REF!,0))))</f>
        <v/>
      </c>
      <c r="M601" s="175"/>
      <c r="N601" s="157" t="str">
        <f t="shared" si="61"/>
        <v>0</v>
      </c>
      <c r="O601" s="98" t="str">
        <f t="shared" si="60"/>
        <v/>
      </c>
      <c r="P601" s="80" t="str">
        <f t="shared" si="62"/>
        <v>-</v>
      </c>
      <c r="Q601" s="75">
        <v>5.7700000000000001E-8</v>
      </c>
      <c r="R601" s="175" t="str">
        <f>IF(OR('Inventaire M-1'!D353="Dispo/Liquidité Investie",'Inventaire M-1'!D353="Option/Future",'Inventaire M-1'!D353="TCN",'Inventaire M-1'!D353=""),"-",'Inventaire M-1'!A353)</f>
        <v>-</v>
      </c>
      <c r="S601" s="175" t="str">
        <f>IF(OR('Inventaire M-1'!D353="Dispo/Liquidité Investie",'Inventaire M-1'!D353="Option/Future",'Inventaire M-1'!D353="TCN",'Inventaire M-1'!D353=""),"-",'Inventaire M-1'!B353)</f>
        <v>-</v>
      </c>
      <c r="T601" s="175"/>
      <c r="U601" s="175" t="str">
        <f>IF(R601="-","",INDEX('Inventaire M-1'!$A$2:$AG$9334,MATCH(R601,'Inventaire M-1'!$A:$A,0)-1,MATCH("Cours EUR",'Inventaire M-1'!#REF!,0)))</f>
        <v/>
      </c>
      <c r="V601" s="175" t="str">
        <f>IF(R601="-","",IF(ISERROR(INDEX('Inventaire M'!$A$2:$AD$9319,MATCH(R601,'Inventaire M'!$A:$A,0)-1,MATCH("Cours EUR",'Inventaire M'!#REF!,0))),"Sell",INDEX('Inventaire M'!$A$2:$AD$9319,MATCH(R601,'Inventaire M'!$A:$A,0)-1,MATCH("Cours EUR",'Inventaire M'!#REF!,0))))</f>
        <v/>
      </c>
      <c r="W601" s="175"/>
      <c r="X601" s="156" t="str">
        <f>IF(R601="-","",INDEX('Inventaire M-1'!$A$2:$AG$9334,MATCH(R601,'Inventaire M-1'!$A:$A,0)-1,MATCH("quantite",'Inventaire M-1'!#REF!,0)))</f>
        <v/>
      </c>
      <c r="Y601" s="156" t="str">
        <f>IF(S601="-","",IF(ISERROR(INDEX('Inventaire M'!$A$2:$AD$9319,MATCH(R601,'Inventaire M'!$A:$A,0)-1,MATCH("quantite",'Inventaire M'!#REF!,0))),"Sell",INDEX('Inventaire M'!$A$2:$AD$9319,MATCH(R601,'Inventaire M'!$A:$A,0)-1,MATCH("quantite",'Inventaire M'!#REF!,0))))</f>
        <v/>
      </c>
      <c r="Z601" s="175"/>
      <c r="AA601" s="155" t="str">
        <f>IF(R601="-","",INDEX('Inventaire M-1'!$A$2:$AG$9334,MATCH(R601,'Inventaire M-1'!$A:$A,0)-1,MATCH("poids",'Inventaire M-1'!#REF!,0)))</f>
        <v/>
      </c>
      <c r="AB601" s="155" t="str">
        <f>IF(R601="-","",IF(ISERROR(INDEX('Inventaire M'!$A$2:$AD$9319,MATCH(R601,'Inventaire M'!$A:$A,0)-1,MATCH("poids",'Inventaire M'!#REF!,0))),"Sell",INDEX('Inventaire M'!$A$2:$AD$9319,MATCH(R601,'Inventaire M'!$A:$A,0)-1,MATCH("poids",'Inventaire M'!#REF!,0))))</f>
        <v/>
      </c>
      <c r="AC601" s="175"/>
      <c r="AD601" s="157" t="str">
        <f t="shared" si="63"/>
        <v>0</v>
      </c>
      <c r="AE601" s="98" t="str">
        <f t="shared" si="64"/>
        <v/>
      </c>
      <c r="AF601" s="80" t="str">
        <f t="shared" si="65"/>
        <v>-</v>
      </c>
    </row>
    <row r="602" spans="2:32" outlineLevel="1">
      <c r="B602" s="175" t="str">
        <f>IF(OR('Inventaire M'!D375="Dispo/Liquidité Investie",'Inventaire M'!D375="Option/Future",'Inventaire M'!D375="TCN",'Inventaire M'!D375=""),"-",'Inventaire M'!A375)</f>
        <v>-</v>
      </c>
      <c r="C602" s="175" t="str">
        <f>IF(OR('Inventaire M'!D375="Dispo/Liquidité Investie",'Inventaire M'!D375="Option/Future",'Inventaire M'!D375="TCN",'Inventaire M'!D375=""),"-",'Inventaire M'!B375)</f>
        <v>-</v>
      </c>
      <c r="D602" s="175"/>
      <c r="E602" s="175" t="str">
        <f>IF(B602="-","",INDEX('Inventaire M'!$A$2:$AW$9305,MATCH(B602,'Inventaire M'!$A:$A,0)-1,MATCH("Cours EUR",'Inventaire M'!#REF!,0)))</f>
        <v/>
      </c>
      <c r="F602" s="175" t="str">
        <f>IF(B602="-","",IF(ISERROR(INDEX('Inventaire M-1'!$A$2:$AZ$9320,MATCH(B602,'Inventaire M-1'!$A:$A,0)-1,MATCH("Cours EUR",'Inventaire M-1'!#REF!,0))),"Buy",INDEX('Inventaire M-1'!$A$2:$AZ$9320,MATCH(B602,'Inventaire M-1'!$A:$A,0)-1,MATCH("Cours EUR",'Inventaire M-1'!#REF!,0))))</f>
        <v/>
      </c>
      <c r="G602" s="175"/>
      <c r="H602" s="156" t="str">
        <f>IF(B602="-","",INDEX('Inventaire M'!$A$2:$AW$9305,MATCH(B602,'Inventaire M'!$A:$A,0)-1,MATCH("quantite",'Inventaire M'!#REF!,0)))</f>
        <v/>
      </c>
      <c r="I602" s="156" t="str">
        <f>IF(C602="-","",IF(ISERROR(INDEX('Inventaire M-1'!$A$2:$AZ$9320,MATCH(B602,'Inventaire M-1'!$A:$A,0)-1,MATCH("quantite",'Inventaire M-1'!#REF!,0))),"Buy",INDEX('Inventaire M-1'!$A$2:$AZ$9320,MATCH(B602,'Inventaire M-1'!$A:$A,0)-1,MATCH("quantite",'Inventaire M-1'!#REF!,0))))</f>
        <v/>
      </c>
      <c r="J602" s="175"/>
      <c r="K602" s="155" t="str">
        <f>IF(B602="-","",INDEX('Inventaire M'!$A$2:$AW$9305,MATCH(B602,'Inventaire M'!$A:$A,0)-1,MATCH("poids",'Inventaire M'!#REF!,0)))</f>
        <v/>
      </c>
      <c r="L602" s="155" t="str">
        <f>IF(B602="-","",IF(ISERROR(INDEX('Inventaire M-1'!$A$2:$AZ$9320,MATCH(B602,'Inventaire M-1'!$A:$A,0)-1,MATCH("poids",'Inventaire M-1'!#REF!,0))),"Buy",INDEX('Inventaire M-1'!$A$2:$AZ$9320,MATCH(B602,'Inventaire M-1'!$A:$A,0)-1,MATCH("poids",'Inventaire M-1'!#REF!,0))))</f>
        <v/>
      </c>
      <c r="M602" s="175"/>
      <c r="N602" s="157" t="str">
        <f t="shared" si="61"/>
        <v>0</v>
      </c>
      <c r="O602" s="98" t="str">
        <f t="shared" ref="O602:O662" si="66">IFERROR(IF(N602&gt;0,IF(L602="Buy",K602,K602-L602)+Q602,""),"")</f>
        <v/>
      </c>
      <c r="P602" s="80" t="str">
        <f t="shared" si="62"/>
        <v>-</v>
      </c>
      <c r="Q602" s="75">
        <v>5.7800000000000001E-8</v>
      </c>
      <c r="R602" s="175" t="str">
        <f>IF(OR('Inventaire M-1'!D354="Dispo/Liquidité Investie",'Inventaire M-1'!D354="Option/Future",'Inventaire M-1'!D354="TCN",'Inventaire M-1'!D354=""),"-",'Inventaire M-1'!A354)</f>
        <v>-</v>
      </c>
      <c r="S602" s="175" t="str">
        <f>IF(OR('Inventaire M-1'!D354="Dispo/Liquidité Investie",'Inventaire M-1'!D354="Option/Future",'Inventaire M-1'!D354="TCN",'Inventaire M-1'!D354=""),"-",'Inventaire M-1'!B354)</f>
        <v>-</v>
      </c>
      <c r="T602" s="175"/>
      <c r="U602" s="175" t="str">
        <f>IF(R602="-","",INDEX('Inventaire M-1'!$A$2:$AG$9334,MATCH(R602,'Inventaire M-1'!$A:$A,0)-1,MATCH("Cours EUR",'Inventaire M-1'!#REF!,0)))</f>
        <v/>
      </c>
      <c r="V602" s="175" t="str">
        <f>IF(R602="-","",IF(ISERROR(INDEX('Inventaire M'!$A$2:$AD$9319,MATCH(R602,'Inventaire M'!$A:$A,0)-1,MATCH("Cours EUR",'Inventaire M'!#REF!,0))),"Sell",INDEX('Inventaire M'!$A$2:$AD$9319,MATCH(R602,'Inventaire M'!$A:$A,0)-1,MATCH("Cours EUR",'Inventaire M'!#REF!,0))))</f>
        <v/>
      </c>
      <c r="W602" s="175"/>
      <c r="X602" s="156" t="str">
        <f>IF(R602="-","",INDEX('Inventaire M-1'!$A$2:$AG$9334,MATCH(R602,'Inventaire M-1'!$A:$A,0)-1,MATCH("quantite",'Inventaire M-1'!#REF!,0)))</f>
        <v/>
      </c>
      <c r="Y602" s="156" t="str">
        <f>IF(S602="-","",IF(ISERROR(INDEX('Inventaire M'!$A$2:$AD$9319,MATCH(R602,'Inventaire M'!$A:$A,0)-1,MATCH("quantite",'Inventaire M'!#REF!,0))),"Sell",INDEX('Inventaire M'!$A$2:$AD$9319,MATCH(R602,'Inventaire M'!$A:$A,0)-1,MATCH("quantite",'Inventaire M'!#REF!,0))))</f>
        <v/>
      </c>
      <c r="Z602" s="175"/>
      <c r="AA602" s="155" t="str">
        <f>IF(R602="-","",INDEX('Inventaire M-1'!$A$2:$AG$9334,MATCH(R602,'Inventaire M-1'!$A:$A,0)-1,MATCH("poids",'Inventaire M-1'!#REF!,0)))</f>
        <v/>
      </c>
      <c r="AB602" s="155" t="str">
        <f>IF(R602="-","",IF(ISERROR(INDEX('Inventaire M'!$A$2:$AD$9319,MATCH(R602,'Inventaire M'!$A:$A,0)-1,MATCH("poids",'Inventaire M'!#REF!,0))),"Sell",INDEX('Inventaire M'!$A$2:$AD$9319,MATCH(R602,'Inventaire M'!$A:$A,0)-1,MATCH("poids",'Inventaire M'!#REF!,0))))</f>
        <v/>
      </c>
      <c r="AC602" s="175"/>
      <c r="AD602" s="157" t="str">
        <f t="shared" si="63"/>
        <v>0</v>
      </c>
      <c r="AE602" s="98" t="str">
        <f t="shared" si="64"/>
        <v/>
      </c>
      <c r="AF602" s="80" t="str">
        <f t="shared" si="65"/>
        <v>-</v>
      </c>
    </row>
    <row r="603" spans="2:32" outlineLevel="1">
      <c r="B603" s="175" t="str">
        <f>IF(OR('Inventaire M'!D376="Dispo/Liquidité Investie",'Inventaire M'!D376="Option/Future",'Inventaire M'!D376="TCN",'Inventaire M'!D376=""),"-",'Inventaire M'!A376)</f>
        <v>-</v>
      </c>
      <c r="C603" s="175" t="str">
        <f>IF(OR('Inventaire M'!D376="Dispo/Liquidité Investie",'Inventaire M'!D376="Option/Future",'Inventaire M'!D376="TCN",'Inventaire M'!D376=""),"-",'Inventaire M'!B376)</f>
        <v>-</v>
      </c>
      <c r="D603" s="175"/>
      <c r="E603" s="175" t="str">
        <f>IF(B603="-","",INDEX('Inventaire M'!$A$2:$AW$9305,MATCH(B603,'Inventaire M'!$A:$A,0)-1,MATCH("Cours EUR",'Inventaire M'!#REF!,0)))</f>
        <v/>
      </c>
      <c r="F603" s="175" t="str">
        <f>IF(B603="-","",IF(ISERROR(INDEX('Inventaire M-1'!$A$2:$AZ$9320,MATCH(B603,'Inventaire M-1'!$A:$A,0)-1,MATCH("Cours EUR",'Inventaire M-1'!#REF!,0))),"Buy",INDEX('Inventaire M-1'!$A$2:$AZ$9320,MATCH(B603,'Inventaire M-1'!$A:$A,0)-1,MATCH("Cours EUR",'Inventaire M-1'!#REF!,0))))</f>
        <v/>
      </c>
      <c r="G603" s="175"/>
      <c r="H603" s="156" t="str">
        <f>IF(B603="-","",INDEX('Inventaire M'!$A$2:$AW$9305,MATCH(B603,'Inventaire M'!$A:$A,0)-1,MATCH("quantite",'Inventaire M'!#REF!,0)))</f>
        <v/>
      </c>
      <c r="I603" s="156" t="str">
        <f>IF(C603="-","",IF(ISERROR(INDEX('Inventaire M-1'!$A$2:$AZ$9320,MATCH(B603,'Inventaire M-1'!$A:$A,0)-1,MATCH("quantite",'Inventaire M-1'!#REF!,0))),"Buy",INDEX('Inventaire M-1'!$A$2:$AZ$9320,MATCH(B603,'Inventaire M-1'!$A:$A,0)-1,MATCH("quantite",'Inventaire M-1'!#REF!,0))))</f>
        <v/>
      </c>
      <c r="J603" s="175"/>
      <c r="K603" s="155" t="str">
        <f>IF(B603="-","",INDEX('Inventaire M'!$A$2:$AW$9305,MATCH(B603,'Inventaire M'!$A:$A,0)-1,MATCH("poids",'Inventaire M'!#REF!,0)))</f>
        <v/>
      </c>
      <c r="L603" s="155" t="str">
        <f>IF(B603="-","",IF(ISERROR(INDEX('Inventaire M-1'!$A$2:$AZ$9320,MATCH(B603,'Inventaire M-1'!$A:$A,0)-1,MATCH("poids",'Inventaire M-1'!#REF!,0))),"Buy",INDEX('Inventaire M-1'!$A$2:$AZ$9320,MATCH(B603,'Inventaire M-1'!$A:$A,0)-1,MATCH("poids",'Inventaire M-1'!#REF!,0))))</f>
        <v/>
      </c>
      <c r="M603" s="175"/>
      <c r="N603" s="157" t="str">
        <f t="shared" si="61"/>
        <v>0</v>
      </c>
      <c r="O603" s="98" t="str">
        <f t="shared" si="66"/>
        <v/>
      </c>
      <c r="P603" s="80" t="str">
        <f t="shared" si="62"/>
        <v>-</v>
      </c>
      <c r="Q603" s="75">
        <v>5.7900000000000002E-8</v>
      </c>
      <c r="R603" s="175" t="str">
        <f>IF(OR('Inventaire M-1'!D355="Dispo/Liquidité Investie",'Inventaire M-1'!D355="Option/Future",'Inventaire M-1'!D355="TCN",'Inventaire M-1'!D355=""),"-",'Inventaire M-1'!A355)</f>
        <v>-</v>
      </c>
      <c r="S603" s="175" t="str">
        <f>IF(OR('Inventaire M-1'!D355="Dispo/Liquidité Investie",'Inventaire M-1'!D355="Option/Future",'Inventaire M-1'!D355="TCN",'Inventaire M-1'!D355=""),"-",'Inventaire M-1'!B355)</f>
        <v>-</v>
      </c>
      <c r="T603" s="175"/>
      <c r="U603" s="175" t="str">
        <f>IF(R603="-","",INDEX('Inventaire M-1'!$A$2:$AG$9334,MATCH(R603,'Inventaire M-1'!$A:$A,0)-1,MATCH("Cours EUR",'Inventaire M-1'!#REF!,0)))</f>
        <v/>
      </c>
      <c r="V603" s="175" t="str">
        <f>IF(R603="-","",IF(ISERROR(INDEX('Inventaire M'!$A$2:$AD$9319,MATCH(R603,'Inventaire M'!$A:$A,0)-1,MATCH("Cours EUR",'Inventaire M'!#REF!,0))),"Sell",INDEX('Inventaire M'!$A$2:$AD$9319,MATCH(R603,'Inventaire M'!$A:$A,0)-1,MATCH("Cours EUR",'Inventaire M'!#REF!,0))))</f>
        <v/>
      </c>
      <c r="W603" s="175"/>
      <c r="X603" s="156" t="str">
        <f>IF(R603="-","",INDEX('Inventaire M-1'!$A$2:$AG$9334,MATCH(R603,'Inventaire M-1'!$A:$A,0)-1,MATCH("quantite",'Inventaire M-1'!#REF!,0)))</f>
        <v/>
      </c>
      <c r="Y603" s="156" t="str">
        <f>IF(S603="-","",IF(ISERROR(INDEX('Inventaire M'!$A$2:$AD$9319,MATCH(R603,'Inventaire M'!$A:$A,0)-1,MATCH("quantite",'Inventaire M'!#REF!,0))),"Sell",INDEX('Inventaire M'!$A$2:$AD$9319,MATCH(R603,'Inventaire M'!$A:$A,0)-1,MATCH("quantite",'Inventaire M'!#REF!,0))))</f>
        <v/>
      </c>
      <c r="Z603" s="175"/>
      <c r="AA603" s="155" t="str">
        <f>IF(R603="-","",INDEX('Inventaire M-1'!$A$2:$AG$9334,MATCH(R603,'Inventaire M-1'!$A:$A,0)-1,MATCH("poids",'Inventaire M-1'!#REF!,0)))</f>
        <v/>
      </c>
      <c r="AB603" s="155" t="str">
        <f>IF(R603="-","",IF(ISERROR(INDEX('Inventaire M'!$A$2:$AD$9319,MATCH(R603,'Inventaire M'!$A:$A,0)-1,MATCH("poids",'Inventaire M'!#REF!,0))),"Sell",INDEX('Inventaire M'!$A$2:$AD$9319,MATCH(R603,'Inventaire M'!$A:$A,0)-1,MATCH("poids",'Inventaire M'!#REF!,0))))</f>
        <v/>
      </c>
      <c r="AC603" s="175"/>
      <c r="AD603" s="157" t="str">
        <f t="shared" si="63"/>
        <v>0</v>
      </c>
      <c r="AE603" s="98" t="str">
        <f t="shared" si="64"/>
        <v/>
      </c>
      <c r="AF603" s="80" t="str">
        <f t="shared" si="65"/>
        <v>-</v>
      </c>
    </row>
    <row r="604" spans="2:32" outlineLevel="1">
      <c r="B604" s="175" t="str">
        <f>IF(OR('Inventaire M'!D377="Dispo/Liquidité Investie",'Inventaire M'!D377="Option/Future",'Inventaire M'!D377="TCN",'Inventaire M'!D377=""),"-",'Inventaire M'!A377)</f>
        <v>-</v>
      </c>
      <c r="C604" s="175" t="str">
        <f>IF(OR('Inventaire M'!D377="Dispo/Liquidité Investie",'Inventaire M'!D377="Option/Future",'Inventaire M'!D377="TCN",'Inventaire M'!D377=""),"-",'Inventaire M'!B377)</f>
        <v>-</v>
      </c>
      <c r="D604" s="175"/>
      <c r="E604" s="175" t="str">
        <f>IF(B604="-","",INDEX('Inventaire M'!$A$2:$AW$9305,MATCH(B604,'Inventaire M'!$A:$A,0)-1,MATCH("Cours EUR",'Inventaire M'!#REF!,0)))</f>
        <v/>
      </c>
      <c r="F604" s="175" t="str">
        <f>IF(B604="-","",IF(ISERROR(INDEX('Inventaire M-1'!$A$2:$AZ$9320,MATCH(B604,'Inventaire M-1'!$A:$A,0)-1,MATCH("Cours EUR",'Inventaire M-1'!#REF!,0))),"Buy",INDEX('Inventaire M-1'!$A$2:$AZ$9320,MATCH(B604,'Inventaire M-1'!$A:$A,0)-1,MATCH("Cours EUR",'Inventaire M-1'!#REF!,0))))</f>
        <v/>
      </c>
      <c r="G604" s="175"/>
      <c r="H604" s="156" t="str">
        <f>IF(B604="-","",INDEX('Inventaire M'!$A$2:$AW$9305,MATCH(B604,'Inventaire M'!$A:$A,0)-1,MATCH("quantite",'Inventaire M'!#REF!,0)))</f>
        <v/>
      </c>
      <c r="I604" s="156" t="str">
        <f>IF(C604="-","",IF(ISERROR(INDEX('Inventaire M-1'!$A$2:$AZ$9320,MATCH(B604,'Inventaire M-1'!$A:$A,0)-1,MATCH("quantite",'Inventaire M-1'!#REF!,0))),"Buy",INDEX('Inventaire M-1'!$A$2:$AZ$9320,MATCH(B604,'Inventaire M-1'!$A:$A,0)-1,MATCH("quantite",'Inventaire M-1'!#REF!,0))))</f>
        <v/>
      </c>
      <c r="J604" s="175"/>
      <c r="K604" s="155" t="str">
        <f>IF(B604="-","",INDEX('Inventaire M'!$A$2:$AW$9305,MATCH(B604,'Inventaire M'!$A:$A,0)-1,MATCH("poids",'Inventaire M'!#REF!,0)))</f>
        <v/>
      </c>
      <c r="L604" s="155" t="str">
        <f>IF(B604="-","",IF(ISERROR(INDEX('Inventaire M-1'!$A$2:$AZ$9320,MATCH(B604,'Inventaire M-1'!$A:$A,0)-1,MATCH("poids",'Inventaire M-1'!#REF!,0))),"Buy",INDEX('Inventaire M-1'!$A$2:$AZ$9320,MATCH(B604,'Inventaire M-1'!$A:$A,0)-1,MATCH("poids",'Inventaire M-1'!#REF!,0))))</f>
        <v/>
      </c>
      <c r="M604" s="175"/>
      <c r="N604" s="157" t="str">
        <f t="shared" ref="N604:N661" si="67">IFERROR(IF(I604="Buy",H604,H604-I604),"0")</f>
        <v>0</v>
      </c>
      <c r="O604" s="98" t="str">
        <f t="shared" si="66"/>
        <v/>
      </c>
      <c r="P604" s="80" t="str">
        <f t="shared" ref="P604:P661" si="68">C604</f>
        <v>-</v>
      </c>
      <c r="Q604" s="75">
        <v>5.8000000000000003E-8</v>
      </c>
      <c r="R604" s="175" t="str">
        <f>IF(OR('Inventaire M-1'!D356="Dispo/Liquidité Investie",'Inventaire M-1'!D356="Option/Future",'Inventaire M-1'!D356="TCN",'Inventaire M-1'!D356=""),"-",'Inventaire M-1'!A356)</f>
        <v>-</v>
      </c>
      <c r="S604" s="175" t="str">
        <f>IF(OR('Inventaire M-1'!D356="Dispo/Liquidité Investie",'Inventaire M-1'!D356="Option/Future",'Inventaire M-1'!D356="TCN",'Inventaire M-1'!D356=""),"-",'Inventaire M-1'!B356)</f>
        <v>-</v>
      </c>
      <c r="T604" s="175"/>
      <c r="U604" s="175" t="str">
        <f>IF(R604="-","",INDEX('Inventaire M-1'!$A$2:$AG$9334,MATCH(R604,'Inventaire M-1'!$A:$A,0)-1,MATCH("Cours EUR",'Inventaire M-1'!#REF!,0)))</f>
        <v/>
      </c>
      <c r="V604" s="175" t="str">
        <f>IF(R604="-","",IF(ISERROR(INDEX('Inventaire M'!$A$2:$AD$9319,MATCH(R604,'Inventaire M'!$A:$A,0)-1,MATCH("Cours EUR",'Inventaire M'!#REF!,0))),"Sell",INDEX('Inventaire M'!$A$2:$AD$9319,MATCH(R604,'Inventaire M'!$A:$A,0)-1,MATCH("Cours EUR",'Inventaire M'!#REF!,0))))</f>
        <v/>
      </c>
      <c r="W604" s="175"/>
      <c r="X604" s="156" t="str">
        <f>IF(R604="-","",INDEX('Inventaire M-1'!$A$2:$AG$9334,MATCH(R604,'Inventaire M-1'!$A:$A,0)-1,MATCH("quantite",'Inventaire M-1'!#REF!,0)))</f>
        <v/>
      </c>
      <c r="Y604" s="156" t="str">
        <f>IF(S604="-","",IF(ISERROR(INDEX('Inventaire M'!$A$2:$AD$9319,MATCH(R604,'Inventaire M'!$A:$A,0)-1,MATCH("quantite",'Inventaire M'!#REF!,0))),"Sell",INDEX('Inventaire M'!$A$2:$AD$9319,MATCH(R604,'Inventaire M'!$A:$A,0)-1,MATCH("quantite",'Inventaire M'!#REF!,0))))</f>
        <v/>
      </c>
      <c r="Z604" s="175"/>
      <c r="AA604" s="155" t="str">
        <f>IF(R604="-","",INDEX('Inventaire M-1'!$A$2:$AG$9334,MATCH(R604,'Inventaire M-1'!$A:$A,0)-1,MATCH("poids",'Inventaire M-1'!#REF!,0)))</f>
        <v/>
      </c>
      <c r="AB604" s="155" t="str">
        <f>IF(R604="-","",IF(ISERROR(INDEX('Inventaire M'!$A$2:$AD$9319,MATCH(R604,'Inventaire M'!$A:$A,0)-1,MATCH("poids",'Inventaire M'!#REF!,0))),"Sell",INDEX('Inventaire M'!$A$2:$AD$9319,MATCH(R604,'Inventaire M'!$A:$A,0)-1,MATCH("poids",'Inventaire M'!#REF!,0))))</f>
        <v/>
      </c>
      <c r="AC604" s="175"/>
      <c r="AD604" s="157" t="str">
        <f t="shared" ref="AD604:AD661" si="69">IFERROR(IF(Y604="Sell",-X604,Y604-X604),"0")</f>
        <v>0</v>
      </c>
      <c r="AE604" s="98" t="str">
        <f t="shared" ref="AE604:AE661" si="70">IFERROR(IF(AD604&lt;0,IF(AB604="Sell",AA604+10%,AB604-AA604)+Q604,""),"")</f>
        <v/>
      </c>
      <c r="AF604" s="80" t="str">
        <f t="shared" ref="AF604:AF661" si="71">S604</f>
        <v>-</v>
      </c>
    </row>
    <row r="605" spans="2:32" outlineLevel="1">
      <c r="B605" s="175" t="str">
        <f>IF(OR('Inventaire M'!D378="Dispo/Liquidité Investie",'Inventaire M'!D378="Option/Future",'Inventaire M'!D378="TCN",'Inventaire M'!D378=""),"-",'Inventaire M'!A378)</f>
        <v>-</v>
      </c>
      <c r="C605" s="175" t="str">
        <f>IF(OR('Inventaire M'!D378="Dispo/Liquidité Investie",'Inventaire M'!D378="Option/Future",'Inventaire M'!D378="TCN",'Inventaire M'!D378=""),"-",'Inventaire M'!B378)</f>
        <v>-</v>
      </c>
      <c r="D605" s="175"/>
      <c r="E605" s="175" t="str">
        <f>IF(B605="-","",INDEX('Inventaire M'!$A$2:$AW$9305,MATCH(B605,'Inventaire M'!$A:$A,0)-1,MATCH("Cours EUR",'Inventaire M'!#REF!,0)))</f>
        <v/>
      </c>
      <c r="F605" s="175" t="str">
        <f>IF(B605="-","",IF(ISERROR(INDEX('Inventaire M-1'!$A$2:$AZ$9320,MATCH(B605,'Inventaire M-1'!$A:$A,0)-1,MATCH("Cours EUR",'Inventaire M-1'!#REF!,0))),"Buy",INDEX('Inventaire M-1'!$A$2:$AZ$9320,MATCH(B605,'Inventaire M-1'!$A:$A,0)-1,MATCH("Cours EUR",'Inventaire M-1'!#REF!,0))))</f>
        <v/>
      </c>
      <c r="G605" s="175"/>
      <c r="H605" s="156" t="str">
        <f>IF(B605="-","",INDEX('Inventaire M'!$A$2:$AW$9305,MATCH(B605,'Inventaire M'!$A:$A,0)-1,MATCH("quantite",'Inventaire M'!#REF!,0)))</f>
        <v/>
      </c>
      <c r="I605" s="156" t="str">
        <f>IF(C605="-","",IF(ISERROR(INDEX('Inventaire M-1'!$A$2:$AZ$9320,MATCH(B605,'Inventaire M-1'!$A:$A,0)-1,MATCH("quantite",'Inventaire M-1'!#REF!,0))),"Buy",INDEX('Inventaire M-1'!$A$2:$AZ$9320,MATCH(B605,'Inventaire M-1'!$A:$A,0)-1,MATCH("quantite",'Inventaire M-1'!#REF!,0))))</f>
        <v/>
      </c>
      <c r="J605" s="175"/>
      <c r="K605" s="155" t="str">
        <f>IF(B605="-","",INDEX('Inventaire M'!$A$2:$AW$9305,MATCH(B605,'Inventaire M'!$A:$A,0)-1,MATCH("poids",'Inventaire M'!#REF!,0)))</f>
        <v/>
      </c>
      <c r="L605" s="155" t="str">
        <f>IF(B605="-","",IF(ISERROR(INDEX('Inventaire M-1'!$A$2:$AZ$9320,MATCH(B605,'Inventaire M-1'!$A:$A,0)-1,MATCH("poids",'Inventaire M-1'!#REF!,0))),"Buy",INDEX('Inventaire M-1'!$A$2:$AZ$9320,MATCH(B605,'Inventaire M-1'!$A:$A,0)-1,MATCH("poids",'Inventaire M-1'!#REF!,0))))</f>
        <v/>
      </c>
      <c r="M605" s="175"/>
      <c r="N605" s="157" t="str">
        <f t="shared" si="67"/>
        <v>0</v>
      </c>
      <c r="O605" s="98" t="str">
        <f t="shared" si="66"/>
        <v/>
      </c>
      <c r="P605" s="80" t="str">
        <f t="shared" si="68"/>
        <v>-</v>
      </c>
      <c r="Q605" s="75">
        <v>5.8099999999999997E-8</v>
      </c>
      <c r="R605" s="175" t="str">
        <f>IF(OR('Inventaire M-1'!D357="Dispo/Liquidité Investie",'Inventaire M-1'!D357="Option/Future",'Inventaire M-1'!D357="TCN",'Inventaire M-1'!D357=""),"-",'Inventaire M-1'!A357)</f>
        <v>-</v>
      </c>
      <c r="S605" s="175" t="str">
        <f>IF(OR('Inventaire M-1'!D357="Dispo/Liquidité Investie",'Inventaire M-1'!D357="Option/Future",'Inventaire M-1'!D357="TCN",'Inventaire M-1'!D357=""),"-",'Inventaire M-1'!B357)</f>
        <v>-</v>
      </c>
      <c r="T605" s="175"/>
      <c r="U605" s="175" t="str">
        <f>IF(R605="-","",INDEX('Inventaire M-1'!$A$2:$AG$9334,MATCH(R605,'Inventaire M-1'!$A:$A,0)-1,MATCH("Cours EUR",'Inventaire M-1'!#REF!,0)))</f>
        <v/>
      </c>
      <c r="V605" s="175" t="str">
        <f>IF(R605="-","",IF(ISERROR(INDEX('Inventaire M'!$A$2:$AD$9319,MATCH(R605,'Inventaire M'!$A:$A,0)-1,MATCH("Cours EUR",'Inventaire M'!#REF!,0))),"Sell",INDEX('Inventaire M'!$A$2:$AD$9319,MATCH(R605,'Inventaire M'!$A:$A,0)-1,MATCH("Cours EUR",'Inventaire M'!#REF!,0))))</f>
        <v/>
      </c>
      <c r="W605" s="175"/>
      <c r="X605" s="156" t="str">
        <f>IF(R605="-","",INDEX('Inventaire M-1'!$A$2:$AG$9334,MATCH(R605,'Inventaire M-1'!$A:$A,0)-1,MATCH("quantite",'Inventaire M-1'!#REF!,0)))</f>
        <v/>
      </c>
      <c r="Y605" s="156" t="str">
        <f>IF(S605="-","",IF(ISERROR(INDEX('Inventaire M'!$A$2:$AD$9319,MATCH(R605,'Inventaire M'!$A:$A,0)-1,MATCH("quantite",'Inventaire M'!#REF!,0))),"Sell",INDEX('Inventaire M'!$A$2:$AD$9319,MATCH(R605,'Inventaire M'!$A:$A,0)-1,MATCH("quantite",'Inventaire M'!#REF!,0))))</f>
        <v/>
      </c>
      <c r="Z605" s="175"/>
      <c r="AA605" s="155" t="str">
        <f>IF(R605="-","",INDEX('Inventaire M-1'!$A$2:$AG$9334,MATCH(R605,'Inventaire M-1'!$A:$A,0)-1,MATCH("poids",'Inventaire M-1'!#REF!,0)))</f>
        <v/>
      </c>
      <c r="AB605" s="155" t="str">
        <f>IF(R605="-","",IF(ISERROR(INDEX('Inventaire M'!$A$2:$AD$9319,MATCH(R605,'Inventaire M'!$A:$A,0)-1,MATCH("poids",'Inventaire M'!#REF!,0))),"Sell",INDEX('Inventaire M'!$A$2:$AD$9319,MATCH(R605,'Inventaire M'!$A:$A,0)-1,MATCH("poids",'Inventaire M'!#REF!,0))))</f>
        <v/>
      </c>
      <c r="AC605" s="175"/>
      <c r="AD605" s="157" t="str">
        <f t="shared" si="69"/>
        <v>0</v>
      </c>
      <c r="AE605" s="98" t="str">
        <f t="shared" si="70"/>
        <v/>
      </c>
      <c r="AF605" s="80" t="str">
        <f t="shared" si="71"/>
        <v>-</v>
      </c>
    </row>
    <row r="606" spans="2:32" outlineLevel="1">
      <c r="B606" s="175" t="str">
        <f>IF(OR('Inventaire M'!D379="Dispo/Liquidité Investie",'Inventaire M'!D379="Option/Future",'Inventaire M'!D379="TCN",'Inventaire M'!D379=""),"-",'Inventaire M'!A379)</f>
        <v>-</v>
      </c>
      <c r="C606" s="175" t="str">
        <f>IF(OR('Inventaire M'!D379="Dispo/Liquidité Investie",'Inventaire M'!D379="Option/Future",'Inventaire M'!D379="TCN",'Inventaire M'!D379=""),"-",'Inventaire M'!B379)</f>
        <v>-</v>
      </c>
      <c r="D606" s="175"/>
      <c r="E606" s="175" t="str">
        <f>IF(B606="-","",INDEX('Inventaire M'!$A$2:$AW$9305,MATCH(B606,'Inventaire M'!$A:$A,0)-1,MATCH("Cours EUR",'Inventaire M'!#REF!,0)))</f>
        <v/>
      </c>
      <c r="F606" s="175" t="str">
        <f>IF(B606="-","",IF(ISERROR(INDEX('Inventaire M-1'!$A$2:$AZ$9320,MATCH(B606,'Inventaire M-1'!$A:$A,0)-1,MATCH("Cours EUR",'Inventaire M-1'!#REF!,0))),"Buy",INDEX('Inventaire M-1'!$A$2:$AZ$9320,MATCH(B606,'Inventaire M-1'!$A:$A,0)-1,MATCH("Cours EUR",'Inventaire M-1'!#REF!,0))))</f>
        <v/>
      </c>
      <c r="G606" s="175"/>
      <c r="H606" s="156" t="str">
        <f>IF(B606="-","",INDEX('Inventaire M'!$A$2:$AW$9305,MATCH(B606,'Inventaire M'!$A:$A,0)-1,MATCH("quantite",'Inventaire M'!#REF!,0)))</f>
        <v/>
      </c>
      <c r="I606" s="156" t="str">
        <f>IF(C606="-","",IF(ISERROR(INDEX('Inventaire M-1'!$A$2:$AZ$9320,MATCH(B606,'Inventaire M-1'!$A:$A,0)-1,MATCH("quantite",'Inventaire M-1'!#REF!,0))),"Buy",INDEX('Inventaire M-1'!$A$2:$AZ$9320,MATCH(B606,'Inventaire M-1'!$A:$A,0)-1,MATCH("quantite",'Inventaire M-1'!#REF!,0))))</f>
        <v/>
      </c>
      <c r="J606" s="175"/>
      <c r="K606" s="155" t="str">
        <f>IF(B606="-","",INDEX('Inventaire M'!$A$2:$AW$9305,MATCH(B606,'Inventaire M'!$A:$A,0)-1,MATCH("poids",'Inventaire M'!#REF!,0)))</f>
        <v/>
      </c>
      <c r="L606" s="155" t="str">
        <f>IF(B606="-","",IF(ISERROR(INDEX('Inventaire M-1'!$A$2:$AZ$9320,MATCH(B606,'Inventaire M-1'!$A:$A,0)-1,MATCH("poids",'Inventaire M-1'!#REF!,0))),"Buy",INDEX('Inventaire M-1'!$A$2:$AZ$9320,MATCH(B606,'Inventaire M-1'!$A:$A,0)-1,MATCH("poids",'Inventaire M-1'!#REF!,0))))</f>
        <v/>
      </c>
      <c r="M606" s="175"/>
      <c r="N606" s="157" t="str">
        <f t="shared" si="67"/>
        <v>0</v>
      </c>
      <c r="O606" s="98" t="str">
        <f t="shared" si="66"/>
        <v/>
      </c>
      <c r="P606" s="80" t="str">
        <f t="shared" si="68"/>
        <v>-</v>
      </c>
      <c r="Q606" s="75">
        <v>5.8199999999999998E-8</v>
      </c>
      <c r="R606" s="175" t="str">
        <f>IF(OR('Inventaire M-1'!D358="Dispo/Liquidité Investie",'Inventaire M-1'!D358="Option/Future",'Inventaire M-1'!D358="TCN",'Inventaire M-1'!D358=""),"-",'Inventaire M-1'!A358)</f>
        <v>-</v>
      </c>
      <c r="S606" s="175" t="str">
        <f>IF(OR('Inventaire M-1'!D358="Dispo/Liquidité Investie",'Inventaire M-1'!D358="Option/Future",'Inventaire M-1'!D358="TCN",'Inventaire M-1'!D358=""),"-",'Inventaire M-1'!B358)</f>
        <v>-</v>
      </c>
      <c r="T606" s="175"/>
      <c r="U606" s="175" t="str">
        <f>IF(R606="-","",INDEX('Inventaire M-1'!$A$2:$AG$9334,MATCH(R606,'Inventaire M-1'!$A:$A,0)-1,MATCH("Cours EUR",'Inventaire M-1'!#REF!,0)))</f>
        <v/>
      </c>
      <c r="V606" s="175" t="str">
        <f>IF(R606="-","",IF(ISERROR(INDEX('Inventaire M'!$A$2:$AD$9319,MATCH(R606,'Inventaire M'!$A:$A,0)-1,MATCH("Cours EUR",'Inventaire M'!#REF!,0))),"Sell",INDEX('Inventaire M'!$A$2:$AD$9319,MATCH(R606,'Inventaire M'!$A:$A,0)-1,MATCH("Cours EUR",'Inventaire M'!#REF!,0))))</f>
        <v/>
      </c>
      <c r="W606" s="175"/>
      <c r="X606" s="156" t="str">
        <f>IF(R606="-","",INDEX('Inventaire M-1'!$A$2:$AG$9334,MATCH(R606,'Inventaire M-1'!$A:$A,0)-1,MATCH("quantite",'Inventaire M-1'!#REF!,0)))</f>
        <v/>
      </c>
      <c r="Y606" s="156" t="str">
        <f>IF(S606="-","",IF(ISERROR(INDEX('Inventaire M'!$A$2:$AD$9319,MATCH(R606,'Inventaire M'!$A:$A,0)-1,MATCH("quantite",'Inventaire M'!#REF!,0))),"Sell",INDEX('Inventaire M'!$A$2:$AD$9319,MATCH(R606,'Inventaire M'!$A:$A,0)-1,MATCH("quantite",'Inventaire M'!#REF!,0))))</f>
        <v/>
      </c>
      <c r="Z606" s="175"/>
      <c r="AA606" s="155" t="str">
        <f>IF(R606="-","",INDEX('Inventaire M-1'!$A$2:$AG$9334,MATCH(R606,'Inventaire M-1'!$A:$A,0)-1,MATCH("poids",'Inventaire M-1'!#REF!,0)))</f>
        <v/>
      </c>
      <c r="AB606" s="155" t="str">
        <f>IF(R606="-","",IF(ISERROR(INDEX('Inventaire M'!$A$2:$AD$9319,MATCH(R606,'Inventaire M'!$A:$A,0)-1,MATCH("poids",'Inventaire M'!#REF!,0))),"Sell",INDEX('Inventaire M'!$A$2:$AD$9319,MATCH(R606,'Inventaire M'!$A:$A,0)-1,MATCH("poids",'Inventaire M'!#REF!,0))))</f>
        <v/>
      </c>
      <c r="AC606" s="175"/>
      <c r="AD606" s="157" t="str">
        <f t="shared" si="69"/>
        <v>0</v>
      </c>
      <c r="AE606" s="98" t="str">
        <f t="shared" si="70"/>
        <v/>
      </c>
      <c r="AF606" s="80" t="str">
        <f t="shared" si="71"/>
        <v>-</v>
      </c>
    </row>
    <row r="607" spans="2:32" outlineLevel="1">
      <c r="B607" s="175" t="str">
        <f>IF(OR('Inventaire M'!D380="Dispo/Liquidité Investie",'Inventaire M'!D380="Option/Future",'Inventaire M'!D380="TCN",'Inventaire M'!D380=""),"-",'Inventaire M'!A380)</f>
        <v>-</v>
      </c>
      <c r="C607" s="175" t="str">
        <f>IF(OR('Inventaire M'!D380="Dispo/Liquidité Investie",'Inventaire M'!D380="Option/Future",'Inventaire M'!D380="TCN",'Inventaire M'!D380=""),"-",'Inventaire M'!B380)</f>
        <v>-</v>
      </c>
      <c r="D607" s="175"/>
      <c r="E607" s="175" t="str">
        <f>IF(B607="-","",INDEX('Inventaire M'!$A$2:$AW$9305,MATCH(B607,'Inventaire M'!$A:$A,0)-1,MATCH("Cours EUR",'Inventaire M'!#REF!,0)))</f>
        <v/>
      </c>
      <c r="F607" s="175" t="str">
        <f>IF(B607="-","",IF(ISERROR(INDEX('Inventaire M-1'!$A$2:$AZ$9320,MATCH(B607,'Inventaire M-1'!$A:$A,0)-1,MATCH("Cours EUR",'Inventaire M-1'!#REF!,0))),"Buy",INDEX('Inventaire M-1'!$A$2:$AZ$9320,MATCH(B607,'Inventaire M-1'!$A:$A,0)-1,MATCH("Cours EUR",'Inventaire M-1'!#REF!,0))))</f>
        <v/>
      </c>
      <c r="G607" s="175"/>
      <c r="H607" s="156" t="str">
        <f>IF(B607="-","",INDEX('Inventaire M'!$A$2:$AW$9305,MATCH(B607,'Inventaire M'!$A:$A,0)-1,MATCH("quantite",'Inventaire M'!#REF!,0)))</f>
        <v/>
      </c>
      <c r="I607" s="156" t="str">
        <f>IF(C607="-","",IF(ISERROR(INDEX('Inventaire M-1'!$A$2:$AZ$9320,MATCH(B607,'Inventaire M-1'!$A:$A,0)-1,MATCH("quantite",'Inventaire M-1'!#REF!,0))),"Buy",INDEX('Inventaire M-1'!$A$2:$AZ$9320,MATCH(B607,'Inventaire M-1'!$A:$A,0)-1,MATCH("quantite",'Inventaire M-1'!#REF!,0))))</f>
        <v/>
      </c>
      <c r="J607" s="175"/>
      <c r="K607" s="155" t="str">
        <f>IF(B607="-","",INDEX('Inventaire M'!$A$2:$AW$9305,MATCH(B607,'Inventaire M'!$A:$A,0)-1,MATCH("poids",'Inventaire M'!#REF!,0)))</f>
        <v/>
      </c>
      <c r="L607" s="155" t="str">
        <f>IF(B607="-","",IF(ISERROR(INDEX('Inventaire M-1'!$A$2:$AZ$9320,MATCH(B607,'Inventaire M-1'!$A:$A,0)-1,MATCH("poids",'Inventaire M-1'!#REF!,0))),"Buy",INDEX('Inventaire M-1'!$A$2:$AZ$9320,MATCH(B607,'Inventaire M-1'!$A:$A,0)-1,MATCH("poids",'Inventaire M-1'!#REF!,0))))</f>
        <v/>
      </c>
      <c r="M607" s="175"/>
      <c r="N607" s="157" t="str">
        <f t="shared" si="67"/>
        <v>0</v>
      </c>
      <c r="O607" s="98" t="str">
        <f t="shared" si="66"/>
        <v/>
      </c>
      <c r="P607" s="80" t="str">
        <f t="shared" si="68"/>
        <v>-</v>
      </c>
      <c r="Q607" s="75">
        <v>5.8299999999999999E-8</v>
      </c>
      <c r="R607" s="175" t="str">
        <f>IF(OR('Inventaire M-1'!D359="Dispo/Liquidité Investie",'Inventaire M-1'!D359="Option/Future",'Inventaire M-1'!D359="TCN",'Inventaire M-1'!D359=""),"-",'Inventaire M-1'!A359)</f>
        <v>-</v>
      </c>
      <c r="S607" s="175" t="str">
        <f>IF(OR('Inventaire M-1'!D359="Dispo/Liquidité Investie",'Inventaire M-1'!D359="Option/Future",'Inventaire M-1'!D359="TCN",'Inventaire M-1'!D359=""),"-",'Inventaire M-1'!B359)</f>
        <v>-</v>
      </c>
      <c r="T607" s="175"/>
      <c r="U607" s="175" t="str">
        <f>IF(R607="-","",INDEX('Inventaire M-1'!$A$2:$AG$9334,MATCH(R607,'Inventaire M-1'!$A:$A,0)-1,MATCH("Cours EUR",'Inventaire M-1'!#REF!,0)))</f>
        <v/>
      </c>
      <c r="V607" s="175" t="str">
        <f>IF(R607="-","",IF(ISERROR(INDEX('Inventaire M'!$A$2:$AD$9319,MATCH(R607,'Inventaire M'!$A:$A,0)-1,MATCH("Cours EUR",'Inventaire M'!#REF!,0))),"Sell",INDEX('Inventaire M'!$A$2:$AD$9319,MATCH(R607,'Inventaire M'!$A:$A,0)-1,MATCH("Cours EUR",'Inventaire M'!#REF!,0))))</f>
        <v/>
      </c>
      <c r="W607" s="175"/>
      <c r="X607" s="156" t="str">
        <f>IF(R607="-","",INDEX('Inventaire M-1'!$A$2:$AG$9334,MATCH(R607,'Inventaire M-1'!$A:$A,0)-1,MATCH("quantite",'Inventaire M-1'!#REF!,0)))</f>
        <v/>
      </c>
      <c r="Y607" s="156" t="str">
        <f>IF(S607="-","",IF(ISERROR(INDEX('Inventaire M'!$A$2:$AD$9319,MATCH(R607,'Inventaire M'!$A:$A,0)-1,MATCH("quantite",'Inventaire M'!#REF!,0))),"Sell",INDEX('Inventaire M'!$A$2:$AD$9319,MATCH(R607,'Inventaire M'!$A:$A,0)-1,MATCH("quantite",'Inventaire M'!#REF!,0))))</f>
        <v/>
      </c>
      <c r="Z607" s="175"/>
      <c r="AA607" s="155" t="str">
        <f>IF(R607="-","",INDEX('Inventaire M-1'!$A$2:$AG$9334,MATCH(R607,'Inventaire M-1'!$A:$A,0)-1,MATCH("poids",'Inventaire M-1'!#REF!,0)))</f>
        <v/>
      </c>
      <c r="AB607" s="155" t="str">
        <f>IF(R607="-","",IF(ISERROR(INDEX('Inventaire M'!$A$2:$AD$9319,MATCH(R607,'Inventaire M'!$A:$A,0)-1,MATCH("poids",'Inventaire M'!#REF!,0))),"Sell",INDEX('Inventaire M'!$A$2:$AD$9319,MATCH(R607,'Inventaire M'!$A:$A,0)-1,MATCH("poids",'Inventaire M'!#REF!,0))))</f>
        <v/>
      </c>
      <c r="AC607" s="175"/>
      <c r="AD607" s="157" t="str">
        <f t="shared" si="69"/>
        <v>0</v>
      </c>
      <c r="AE607" s="98" t="str">
        <f t="shared" si="70"/>
        <v/>
      </c>
      <c r="AF607" s="80" t="str">
        <f t="shared" si="71"/>
        <v>-</v>
      </c>
    </row>
    <row r="608" spans="2:32" outlineLevel="1">
      <c r="B608" s="175" t="str">
        <f>IF(OR('Inventaire M'!D381="Dispo/Liquidité Investie",'Inventaire M'!D381="Option/Future",'Inventaire M'!D381="TCN",'Inventaire M'!D381=""),"-",'Inventaire M'!A381)</f>
        <v>-</v>
      </c>
      <c r="C608" s="175" t="str">
        <f>IF(OR('Inventaire M'!D381="Dispo/Liquidité Investie",'Inventaire M'!D381="Option/Future",'Inventaire M'!D381="TCN",'Inventaire M'!D381=""),"-",'Inventaire M'!B381)</f>
        <v>-</v>
      </c>
      <c r="D608" s="175"/>
      <c r="E608" s="175" t="str">
        <f>IF(B608="-","",INDEX('Inventaire M'!$A$2:$AW$9305,MATCH(B608,'Inventaire M'!$A:$A,0)-1,MATCH("Cours EUR",'Inventaire M'!#REF!,0)))</f>
        <v/>
      </c>
      <c r="F608" s="175" t="str">
        <f>IF(B608="-","",IF(ISERROR(INDEX('Inventaire M-1'!$A$2:$AZ$9320,MATCH(B608,'Inventaire M-1'!$A:$A,0)-1,MATCH("Cours EUR",'Inventaire M-1'!#REF!,0))),"Buy",INDEX('Inventaire M-1'!$A$2:$AZ$9320,MATCH(B608,'Inventaire M-1'!$A:$A,0)-1,MATCH("Cours EUR",'Inventaire M-1'!#REF!,0))))</f>
        <v/>
      </c>
      <c r="G608" s="175"/>
      <c r="H608" s="156" t="str">
        <f>IF(B608="-","",INDEX('Inventaire M'!$A$2:$AW$9305,MATCH(B608,'Inventaire M'!$A:$A,0)-1,MATCH("quantite",'Inventaire M'!#REF!,0)))</f>
        <v/>
      </c>
      <c r="I608" s="156" t="str">
        <f>IF(C608="-","",IF(ISERROR(INDEX('Inventaire M-1'!$A$2:$AZ$9320,MATCH(B608,'Inventaire M-1'!$A:$A,0)-1,MATCH("quantite",'Inventaire M-1'!#REF!,0))),"Buy",INDEX('Inventaire M-1'!$A$2:$AZ$9320,MATCH(B608,'Inventaire M-1'!$A:$A,0)-1,MATCH("quantite",'Inventaire M-1'!#REF!,0))))</f>
        <v/>
      </c>
      <c r="J608" s="175"/>
      <c r="K608" s="155" t="str">
        <f>IF(B608="-","",INDEX('Inventaire M'!$A$2:$AW$9305,MATCH(B608,'Inventaire M'!$A:$A,0)-1,MATCH("poids",'Inventaire M'!#REF!,0)))</f>
        <v/>
      </c>
      <c r="L608" s="155" t="str">
        <f>IF(B608="-","",IF(ISERROR(INDEX('Inventaire M-1'!$A$2:$AZ$9320,MATCH(B608,'Inventaire M-1'!$A:$A,0)-1,MATCH("poids",'Inventaire M-1'!#REF!,0))),"Buy",INDEX('Inventaire M-1'!$A$2:$AZ$9320,MATCH(B608,'Inventaire M-1'!$A:$A,0)-1,MATCH("poids",'Inventaire M-1'!#REF!,0))))</f>
        <v/>
      </c>
      <c r="M608" s="175"/>
      <c r="N608" s="157" t="str">
        <f t="shared" si="67"/>
        <v>0</v>
      </c>
      <c r="O608" s="98" t="str">
        <f t="shared" si="66"/>
        <v/>
      </c>
      <c r="P608" s="80" t="str">
        <f t="shared" si="68"/>
        <v>-</v>
      </c>
      <c r="Q608" s="75">
        <v>5.84E-8</v>
      </c>
      <c r="R608" s="175" t="str">
        <f>IF(OR('Inventaire M-1'!D360="Dispo/Liquidité Investie",'Inventaire M-1'!D360="Option/Future",'Inventaire M-1'!D360="TCN",'Inventaire M-1'!D360=""),"-",'Inventaire M-1'!A360)</f>
        <v>-</v>
      </c>
      <c r="S608" s="175" t="str">
        <f>IF(OR('Inventaire M-1'!D360="Dispo/Liquidité Investie",'Inventaire M-1'!D360="Option/Future",'Inventaire M-1'!D360="TCN",'Inventaire M-1'!D360=""),"-",'Inventaire M-1'!B360)</f>
        <v>-</v>
      </c>
      <c r="T608" s="175"/>
      <c r="U608" s="175" t="str">
        <f>IF(R608="-","",INDEX('Inventaire M-1'!$A$2:$AG$9334,MATCH(R608,'Inventaire M-1'!$A:$A,0)-1,MATCH("Cours EUR",'Inventaire M-1'!#REF!,0)))</f>
        <v/>
      </c>
      <c r="V608" s="175" t="str">
        <f>IF(R608="-","",IF(ISERROR(INDEX('Inventaire M'!$A$2:$AD$9319,MATCH(R608,'Inventaire M'!$A:$A,0)-1,MATCH("Cours EUR",'Inventaire M'!#REF!,0))),"Sell",INDEX('Inventaire M'!$A$2:$AD$9319,MATCH(R608,'Inventaire M'!$A:$A,0)-1,MATCH("Cours EUR",'Inventaire M'!#REF!,0))))</f>
        <v/>
      </c>
      <c r="W608" s="175"/>
      <c r="X608" s="156" t="str">
        <f>IF(R608="-","",INDEX('Inventaire M-1'!$A$2:$AG$9334,MATCH(R608,'Inventaire M-1'!$A:$A,0)-1,MATCH("quantite",'Inventaire M-1'!#REF!,0)))</f>
        <v/>
      </c>
      <c r="Y608" s="156" t="str">
        <f>IF(S608="-","",IF(ISERROR(INDEX('Inventaire M'!$A$2:$AD$9319,MATCH(R608,'Inventaire M'!$A:$A,0)-1,MATCH("quantite",'Inventaire M'!#REF!,0))),"Sell",INDEX('Inventaire M'!$A$2:$AD$9319,MATCH(R608,'Inventaire M'!$A:$A,0)-1,MATCH("quantite",'Inventaire M'!#REF!,0))))</f>
        <v/>
      </c>
      <c r="Z608" s="175"/>
      <c r="AA608" s="155" t="str">
        <f>IF(R608="-","",INDEX('Inventaire M-1'!$A$2:$AG$9334,MATCH(R608,'Inventaire M-1'!$A:$A,0)-1,MATCH("poids",'Inventaire M-1'!#REF!,0)))</f>
        <v/>
      </c>
      <c r="AB608" s="155" t="str">
        <f>IF(R608="-","",IF(ISERROR(INDEX('Inventaire M'!$A$2:$AD$9319,MATCH(R608,'Inventaire M'!$A:$A,0)-1,MATCH("poids",'Inventaire M'!#REF!,0))),"Sell",INDEX('Inventaire M'!$A$2:$AD$9319,MATCH(R608,'Inventaire M'!$A:$A,0)-1,MATCH("poids",'Inventaire M'!#REF!,0))))</f>
        <v/>
      </c>
      <c r="AC608" s="175"/>
      <c r="AD608" s="157" t="str">
        <f t="shared" si="69"/>
        <v>0</v>
      </c>
      <c r="AE608" s="98" t="str">
        <f t="shared" si="70"/>
        <v/>
      </c>
      <c r="AF608" s="80" t="str">
        <f t="shared" si="71"/>
        <v>-</v>
      </c>
    </row>
    <row r="609" spans="2:32" outlineLevel="1">
      <c r="B609" s="175" t="str">
        <f>IF(OR('Inventaire M'!D382="Dispo/Liquidité Investie",'Inventaire M'!D382="Option/Future",'Inventaire M'!D382="TCN",'Inventaire M'!D382=""),"-",'Inventaire M'!A382)</f>
        <v>-</v>
      </c>
      <c r="C609" s="175" t="str">
        <f>IF(OR('Inventaire M'!D382="Dispo/Liquidité Investie",'Inventaire M'!D382="Option/Future",'Inventaire M'!D382="TCN",'Inventaire M'!D382=""),"-",'Inventaire M'!B382)</f>
        <v>-</v>
      </c>
      <c r="D609" s="175"/>
      <c r="E609" s="175" t="str">
        <f>IF(B609="-","",INDEX('Inventaire M'!$A$2:$AW$9305,MATCH(B609,'Inventaire M'!$A:$A,0)-1,MATCH("Cours EUR",'Inventaire M'!#REF!,0)))</f>
        <v/>
      </c>
      <c r="F609" s="175" t="str">
        <f>IF(B609="-","",IF(ISERROR(INDEX('Inventaire M-1'!$A$2:$AZ$9320,MATCH(B609,'Inventaire M-1'!$A:$A,0)-1,MATCH("Cours EUR",'Inventaire M-1'!#REF!,0))),"Buy",INDEX('Inventaire M-1'!$A$2:$AZ$9320,MATCH(B609,'Inventaire M-1'!$A:$A,0)-1,MATCH("Cours EUR",'Inventaire M-1'!#REF!,0))))</f>
        <v/>
      </c>
      <c r="G609" s="175"/>
      <c r="H609" s="156" t="str">
        <f>IF(B609="-","",INDEX('Inventaire M'!$A$2:$AW$9305,MATCH(B609,'Inventaire M'!$A:$A,0)-1,MATCH("quantite",'Inventaire M'!#REF!,0)))</f>
        <v/>
      </c>
      <c r="I609" s="156" t="str">
        <f>IF(C609="-","",IF(ISERROR(INDEX('Inventaire M-1'!$A$2:$AZ$9320,MATCH(B609,'Inventaire M-1'!$A:$A,0)-1,MATCH("quantite",'Inventaire M-1'!#REF!,0))),"Buy",INDEX('Inventaire M-1'!$A$2:$AZ$9320,MATCH(B609,'Inventaire M-1'!$A:$A,0)-1,MATCH("quantite",'Inventaire M-1'!#REF!,0))))</f>
        <v/>
      </c>
      <c r="J609" s="175"/>
      <c r="K609" s="155" t="str">
        <f>IF(B609="-","",INDEX('Inventaire M'!$A$2:$AW$9305,MATCH(B609,'Inventaire M'!$A:$A,0)-1,MATCH("poids",'Inventaire M'!#REF!,0)))</f>
        <v/>
      </c>
      <c r="L609" s="155" t="str">
        <f>IF(B609="-","",IF(ISERROR(INDEX('Inventaire M-1'!$A$2:$AZ$9320,MATCH(B609,'Inventaire M-1'!$A:$A,0)-1,MATCH("poids",'Inventaire M-1'!#REF!,0))),"Buy",INDEX('Inventaire M-1'!$A$2:$AZ$9320,MATCH(B609,'Inventaire M-1'!$A:$A,0)-1,MATCH("poids",'Inventaire M-1'!#REF!,0))))</f>
        <v/>
      </c>
      <c r="M609" s="175"/>
      <c r="N609" s="157" t="str">
        <f t="shared" si="67"/>
        <v>0</v>
      </c>
      <c r="O609" s="98" t="str">
        <f t="shared" si="66"/>
        <v/>
      </c>
      <c r="P609" s="80" t="str">
        <f t="shared" si="68"/>
        <v>-</v>
      </c>
      <c r="Q609" s="75">
        <v>5.8500000000000001E-8</v>
      </c>
      <c r="R609" s="175" t="str">
        <f>IF(OR('Inventaire M-1'!D361="Dispo/Liquidité Investie",'Inventaire M-1'!D361="Option/Future",'Inventaire M-1'!D361="TCN",'Inventaire M-1'!D361=""),"-",'Inventaire M-1'!A361)</f>
        <v>-</v>
      </c>
      <c r="S609" s="175" t="str">
        <f>IF(OR('Inventaire M-1'!D361="Dispo/Liquidité Investie",'Inventaire M-1'!D361="Option/Future",'Inventaire M-1'!D361="TCN",'Inventaire M-1'!D361=""),"-",'Inventaire M-1'!B361)</f>
        <v>-</v>
      </c>
      <c r="T609" s="175"/>
      <c r="U609" s="175" t="str">
        <f>IF(R609="-","",INDEX('Inventaire M-1'!$A$2:$AG$9334,MATCH(R609,'Inventaire M-1'!$A:$A,0)-1,MATCH("Cours EUR",'Inventaire M-1'!#REF!,0)))</f>
        <v/>
      </c>
      <c r="V609" s="175" t="str">
        <f>IF(R609="-","",IF(ISERROR(INDEX('Inventaire M'!$A$2:$AD$9319,MATCH(R609,'Inventaire M'!$A:$A,0)-1,MATCH("Cours EUR",'Inventaire M'!#REF!,0))),"Sell",INDEX('Inventaire M'!$A$2:$AD$9319,MATCH(R609,'Inventaire M'!$A:$A,0)-1,MATCH("Cours EUR",'Inventaire M'!#REF!,0))))</f>
        <v/>
      </c>
      <c r="W609" s="175"/>
      <c r="X609" s="156" t="str">
        <f>IF(R609="-","",INDEX('Inventaire M-1'!$A$2:$AG$9334,MATCH(R609,'Inventaire M-1'!$A:$A,0)-1,MATCH("quantite",'Inventaire M-1'!#REF!,0)))</f>
        <v/>
      </c>
      <c r="Y609" s="156" t="str">
        <f>IF(S609="-","",IF(ISERROR(INDEX('Inventaire M'!$A$2:$AD$9319,MATCH(R609,'Inventaire M'!$A:$A,0)-1,MATCH("quantite",'Inventaire M'!#REF!,0))),"Sell",INDEX('Inventaire M'!$A$2:$AD$9319,MATCH(R609,'Inventaire M'!$A:$A,0)-1,MATCH("quantite",'Inventaire M'!#REF!,0))))</f>
        <v/>
      </c>
      <c r="Z609" s="175"/>
      <c r="AA609" s="155" t="str">
        <f>IF(R609="-","",INDEX('Inventaire M-1'!$A$2:$AG$9334,MATCH(R609,'Inventaire M-1'!$A:$A,0)-1,MATCH("poids",'Inventaire M-1'!#REF!,0)))</f>
        <v/>
      </c>
      <c r="AB609" s="155" t="str">
        <f>IF(R609="-","",IF(ISERROR(INDEX('Inventaire M'!$A$2:$AD$9319,MATCH(R609,'Inventaire M'!$A:$A,0)-1,MATCH("poids",'Inventaire M'!#REF!,0))),"Sell",INDEX('Inventaire M'!$A$2:$AD$9319,MATCH(R609,'Inventaire M'!$A:$A,0)-1,MATCH("poids",'Inventaire M'!#REF!,0))))</f>
        <v/>
      </c>
      <c r="AC609" s="175"/>
      <c r="AD609" s="157" t="str">
        <f t="shared" si="69"/>
        <v>0</v>
      </c>
      <c r="AE609" s="98" t="str">
        <f t="shared" si="70"/>
        <v/>
      </c>
      <c r="AF609" s="80" t="str">
        <f t="shared" si="71"/>
        <v>-</v>
      </c>
    </row>
    <row r="610" spans="2:32" outlineLevel="1">
      <c r="B610" s="175" t="str">
        <f>IF(OR('Inventaire M'!D383="Dispo/Liquidité Investie",'Inventaire M'!D383="Option/Future",'Inventaire M'!D383="TCN",'Inventaire M'!D383=""),"-",'Inventaire M'!A383)</f>
        <v>-</v>
      </c>
      <c r="C610" s="175" t="str">
        <f>IF(OR('Inventaire M'!D383="Dispo/Liquidité Investie",'Inventaire M'!D383="Option/Future",'Inventaire M'!D383="TCN",'Inventaire M'!D383=""),"-",'Inventaire M'!B383)</f>
        <v>-</v>
      </c>
      <c r="D610" s="175"/>
      <c r="E610" s="175" t="str">
        <f>IF(B610="-","",INDEX('Inventaire M'!$A$2:$AW$9305,MATCH(B610,'Inventaire M'!$A:$A,0)-1,MATCH("Cours EUR",'Inventaire M'!#REF!,0)))</f>
        <v/>
      </c>
      <c r="F610" s="175" t="str">
        <f>IF(B610="-","",IF(ISERROR(INDEX('Inventaire M-1'!$A$2:$AZ$9320,MATCH(B610,'Inventaire M-1'!$A:$A,0)-1,MATCH("Cours EUR",'Inventaire M-1'!#REF!,0))),"Buy",INDEX('Inventaire M-1'!$A$2:$AZ$9320,MATCH(B610,'Inventaire M-1'!$A:$A,0)-1,MATCH("Cours EUR",'Inventaire M-1'!#REF!,0))))</f>
        <v/>
      </c>
      <c r="G610" s="175"/>
      <c r="H610" s="156" t="str">
        <f>IF(B610="-","",INDEX('Inventaire M'!$A$2:$AW$9305,MATCH(B610,'Inventaire M'!$A:$A,0)-1,MATCH("quantite",'Inventaire M'!#REF!,0)))</f>
        <v/>
      </c>
      <c r="I610" s="156" t="str">
        <f>IF(C610="-","",IF(ISERROR(INDEX('Inventaire M-1'!$A$2:$AZ$9320,MATCH(B610,'Inventaire M-1'!$A:$A,0)-1,MATCH("quantite",'Inventaire M-1'!#REF!,0))),"Buy",INDEX('Inventaire M-1'!$A$2:$AZ$9320,MATCH(B610,'Inventaire M-1'!$A:$A,0)-1,MATCH("quantite",'Inventaire M-1'!#REF!,0))))</f>
        <v/>
      </c>
      <c r="J610" s="175"/>
      <c r="K610" s="155" t="str">
        <f>IF(B610="-","",INDEX('Inventaire M'!$A$2:$AW$9305,MATCH(B610,'Inventaire M'!$A:$A,0)-1,MATCH("poids",'Inventaire M'!#REF!,0)))</f>
        <v/>
      </c>
      <c r="L610" s="155" t="str">
        <f>IF(B610="-","",IF(ISERROR(INDEX('Inventaire M-1'!$A$2:$AZ$9320,MATCH(B610,'Inventaire M-1'!$A:$A,0)-1,MATCH("poids",'Inventaire M-1'!#REF!,0))),"Buy",INDEX('Inventaire M-1'!$A$2:$AZ$9320,MATCH(B610,'Inventaire M-1'!$A:$A,0)-1,MATCH("poids",'Inventaire M-1'!#REF!,0))))</f>
        <v/>
      </c>
      <c r="M610" s="175"/>
      <c r="N610" s="157" t="str">
        <f t="shared" si="67"/>
        <v>0</v>
      </c>
      <c r="O610" s="98" t="str">
        <f t="shared" si="66"/>
        <v/>
      </c>
      <c r="P610" s="80" t="str">
        <f t="shared" si="68"/>
        <v>-</v>
      </c>
      <c r="Q610" s="75">
        <v>5.8600000000000002E-8</v>
      </c>
      <c r="R610" s="175" t="str">
        <f>IF(OR('Inventaire M-1'!D362="Dispo/Liquidité Investie",'Inventaire M-1'!D362="Option/Future",'Inventaire M-1'!D362="TCN",'Inventaire M-1'!D362=""),"-",'Inventaire M-1'!A362)</f>
        <v>-</v>
      </c>
      <c r="S610" s="175" t="str">
        <f>IF(OR('Inventaire M-1'!D362="Dispo/Liquidité Investie",'Inventaire M-1'!D362="Option/Future",'Inventaire M-1'!D362="TCN",'Inventaire M-1'!D362=""),"-",'Inventaire M-1'!B362)</f>
        <v>-</v>
      </c>
      <c r="T610" s="175"/>
      <c r="U610" s="175" t="str">
        <f>IF(R610="-","",INDEX('Inventaire M-1'!$A$2:$AG$9334,MATCH(R610,'Inventaire M-1'!$A:$A,0)-1,MATCH("Cours EUR",'Inventaire M-1'!#REF!,0)))</f>
        <v/>
      </c>
      <c r="V610" s="175" t="str">
        <f>IF(R610="-","",IF(ISERROR(INDEX('Inventaire M'!$A$2:$AD$9319,MATCH(R610,'Inventaire M'!$A:$A,0)-1,MATCH("Cours EUR",'Inventaire M'!#REF!,0))),"Sell",INDEX('Inventaire M'!$A$2:$AD$9319,MATCH(R610,'Inventaire M'!$A:$A,0)-1,MATCH("Cours EUR",'Inventaire M'!#REF!,0))))</f>
        <v/>
      </c>
      <c r="W610" s="175"/>
      <c r="X610" s="156" t="str">
        <f>IF(R610="-","",INDEX('Inventaire M-1'!$A$2:$AG$9334,MATCH(R610,'Inventaire M-1'!$A:$A,0)-1,MATCH("quantite",'Inventaire M-1'!#REF!,0)))</f>
        <v/>
      </c>
      <c r="Y610" s="156" t="str">
        <f>IF(S610="-","",IF(ISERROR(INDEX('Inventaire M'!$A$2:$AD$9319,MATCH(R610,'Inventaire M'!$A:$A,0)-1,MATCH("quantite",'Inventaire M'!#REF!,0))),"Sell",INDEX('Inventaire M'!$A$2:$AD$9319,MATCH(R610,'Inventaire M'!$A:$A,0)-1,MATCH("quantite",'Inventaire M'!#REF!,0))))</f>
        <v/>
      </c>
      <c r="Z610" s="175"/>
      <c r="AA610" s="155" t="str">
        <f>IF(R610="-","",INDEX('Inventaire M-1'!$A$2:$AG$9334,MATCH(R610,'Inventaire M-1'!$A:$A,0)-1,MATCH("poids",'Inventaire M-1'!#REF!,0)))</f>
        <v/>
      </c>
      <c r="AB610" s="155" t="str">
        <f>IF(R610="-","",IF(ISERROR(INDEX('Inventaire M'!$A$2:$AD$9319,MATCH(R610,'Inventaire M'!$A:$A,0)-1,MATCH("poids",'Inventaire M'!#REF!,0))),"Sell",INDEX('Inventaire M'!$A$2:$AD$9319,MATCH(R610,'Inventaire M'!$A:$A,0)-1,MATCH("poids",'Inventaire M'!#REF!,0))))</f>
        <v/>
      </c>
      <c r="AC610" s="175"/>
      <c r="AD610" s="157" t="str">
        <f t="shared" si="69"/>
        <v>0</v>
      </c>
      <c r="AE610" s="98" t="str">
        <f t="shared" si="70"/>
        <v/>
      </c>
      <c r="AF610" s="80" t="str">
        <f t="shared" si="71"/>
        <v>-</v>
      </c>
    </row>
    <row r="611" spans="2:32" outlineLevel="1">
      <c r="B611" s="175" t="str">
        <f>IF(OR('Inventaire M'!D384="Dispo/Liquidité Investie",'Inventaire M'!D384="Option/Future",'Inventaire M'!D384="TCN",'Inventaire M'!D384=""),"-",'Inventaire M'!A384)</f>
        <v>-</v>
      </c>
      <c r="C611" s="175" t="str">
        <f>IF(OR('Inventaire M'!D384="Dispo/Liquidité Investie",'Inventaire M'!D384="Option/Future",'Inventaire M'!D384="TCN",'Inventaire M'!D384=""),"-",'Inventaire M'!B384)</f>
        <v>-</v>
      </c>
      <c r="D611" s="175"/>
      <c r="E611" s="175" t="str">
        <f>IF(B611="-","",INDEX('Inventaire M'!$A$2:$AW$9305,MATCH(B611,'Inventaire M'!$A:$A,0)-1,MATCH("Cours EUR",'Inventaire M'!#REF!,0)))</f>
        <v/>
      </c>
      <c r="F611" s="175" t="str">
        <f>IF(B611="-","",IF(ISERROR(INDEX('Inventaire M-1'!$A$2:$AZ$9320,MATCH(B611,'Inventaire M-1'!$A:$A,0)-1,MATCH("Cours EUR",'Inventaire M-1'!#REF!,0))),"Buy",INDEX('Inventaire M-1'!$A$2:$AZ$9320,MATCH(B611,'Inventaire M-1'!$A:$A,0)-1,MATCH("Cours EUR",'Inventaire M-1'!#REF!,0))))</f>
        <v/>
      </c>
      <c r="G611" s="175"/>
      <c r="H611" s="156" t="str">
        <f>IF(B611="-","",INDEX('Inventaire M'!$A$2:$AW$9305,MATCH(B611,'Inventaire M'!$A:$A,0)-1,MATCH("quantite",'Inventaire M'!#REF!,0)))</f>
        <v/>
      </c>
      <c r="I611" s="156" t="str">
        <f>IF(C611="-","",IF(ISERROR(INDEX('Inventaire M-1'!$A$2:$AZ$9320,MATCH(B611,'Inventaire M-1'!$A:$A,0)-1,MATCH("quantite",'Inventaire M-1'!#REF!,0))),"Buy",INDEX('Inventaire M-1'!$A$2:$AZ$9320,MATCH(B611,'Inventaire M-1'!$A:$A,0)-1,MATCH("quantite",'Inventaire M-1'!#REF!,0))))</f>
        <v/>
      </c>
      <c r="J611" s="175"/>
      <c r="K611" s="155" t="str">
        <f>IF(B611="-","",INDEX('Inventaire M'!$A$2:$AW$9305,MATCH(B611,'Inventaire M'!$A:$A,0)-1,MATCH("poids",'Inventaire M'!#REF!,0)))</f>
        <v/>
      </c>
      <c r="L611" s="155" t="str">
        <f>IF(B611="-","",IF(ISERROR(INDEX('Inventaire M-1'!$A$2:$AZ$9320,MATCH(B611,'Inventaire M-1'!$A:$A,0)-1,MATCH("poids",'Inventaire M-1'!#REF!,0))),"Buy",INDEX('Inventaire M-1'!$A$2:$AZ$9320,MATCH(B611,'Inventaire M-1'!$A:$A,0)-1,MATCH("poids",'Inventaire M-1'!#REF!,0))))</f>
        <v/>
      </c>
      <c r="M611" s="175"/>
      <c r="N611" s="157" t="str">
        <f t="shared" si="67"/>
        <v>0</v>
      </c>
      <c r="O611" s="98" t="str">
        <f t="shared" si="66"/>
        <v/>
      </c>
      <c r="P611" s="80" t="str">
        <f t="shared" si="68"/>
        <v>-</v>
      </c>
      <c r="Q611" s="75">
        <v>5.8700000000000003E-8</v>
      </c>
      <c r="R611" s="175" t="str">
        <f>IF(OR('Inventaire M-1'!D363="Dispo/Liquidité Investie",'Inventaire M-1'!D363="Option/Future",'Inventaire M-1'!D363="TCN",'Inventaire M-1'!D363=""),"-",'Inventaire M-1'!A363)</f>
        <v>-</v>
      </c>
      <c r="S611" s="175" t="str">
        <f>IF(OR('Inventaire M-1'!D363="Dispo/Liquidité Investie",'Inventaire M-1'!D363="Option/Future",'Inventaire M-1'!D363="TCN",'Inventaire M-1'!D363=""),"-",'Inventaire M-1'!B363)</f>
        <v>-</v>
      </c>
      <c r="T611" s="175"/>
      <c r="U611" s="175" t="str">
        <f>IF(R611="-","",INDEX('Inventaire M-1'!$A$2:$AG$9334,MATCH(R611,'Inventaire M-1'!$A:$A,0)-1,MATCH("Cours EUR",'Inventaire M-1'!#REF!,0)))</f>
        <v/>
      </c>
      <c r="V611" s="175" t="str">
        <f>IF(R611="-","",IF(ISERROR(INDEX('Inventaire M'!$A$2:$AD$9319,MATCH(R611,'Inventaire M'!$A:$A,0)-1,MATCH("Cours EUR",'Inventaire M'!#REF!,0))),"Sell",INDEX('Inventaire M'!$A$2:$AD$9319,MATCH(R611,'Inventaire M'!$A:$A,0)-1,MATCH("Cours EUR",'Inventaire M'!#REF!,0))))</f>
        <v/>
      </c>
      <c r="W611" s="175"/>
      <c r="X611" s="156" t="str">
        <f>IF(R611="-","",INDEX('Inventaire M-1'!$A$2:$AG$9334,MATCH(R611,'Inventaire M-1'!$A:$A,0)-1,MATCH("quantite",'Inventaire M-1'!#REF!,0)))</f>
        <v/>
      </c>
      <c r="Y611" s="156" t="str">
        <f>IF(S611="-","",IF(ISERROR(INDEX('Inventaire M'!$A$2:$AD$9319,MATCH(R611,'Inventaire M'!$A:$A,0)-1,MATCH("quantite",'Inventaire M'!#REF!,0))),"Sell",INDEX('Inventaire M'!$A$2:$AD$9319,MATCH(R611,'Inventaire M'!$A:$A,0)-1,MATCH("quantite",'Inventaire M'!#REF!,0))))</f>
        <v/>
      </c>
      <c r="Z611" s="175"/>
      <c r="AA611" s="155" t="str">
        <f>IF(R611="-","",INDEX('Inventaire M-1'!$A$2:$AG$9334,MATCH(R611,'Inventaire M-1'!$A:$A,0)-1,MATCH("poids",'Inventaire M-1'!#REF!,0)))</f>
        <v/>
      </c>
      <c r="AB611" s="155" t="str">
        <f>IF(R611="-","",IF(ISERROR(INDEX('Inventaire M'!$A$2:$AD$9319,MATCH(R611,'Inventaire M'!$A:$A,0)-1,MATCH("poids",'Inventaire M'!#REF!,0))),"Sell",INDEX('Inventaire M'!$A$2:$AD$9319,MATCH(R611,'Inventaire M'!$A:$A,0)-1,MATCH("poids",'Inventaire M'!#REF!,0))))</f>
        <v/>
      </c>
      <c r="AC611" s="175"/>
      <c r="AD611" s="157" t="str">
        <f t="shared" si="69"/>
        <v>0</v>
      </c>
      <c r="AE611" s="98" t="str">
        <f t="shared" si="70"/>
        <v/>
      </c>
      <c r="AF611" s="80" t="str">
        <f t="shared" si="71"/>
        <v>-</v>
      </c>
    </row>
    <row r="612" spans="2:32" outlineLevel="1">
      <c r="B612" s="175" t="str">
        <f>IF(OR('Inventaire M'!D385="Dispo/Liquidité Investie",'Inventaire M'!D385="Option/Future",'Inventaire M'!D385="TCN",'Inventaire M'!D385=""),"-",'Inventaire M'!A385)</f>
        <v>-</v>
      </c>
      <c r="C612" s="175" t="str">
        <f>IF(OR('Inventaire M'!D385="Dispo/Liquidité Investie",'Inventaire M'!D385="Option/Future",'Inventaire M'!D385="TCN",'Inventaire M'!D385=""),"-",'Inventaire M'!B385)</f>
        <v>-</v>
      </c>
      <c r="D612" s="175"/>
      <c r="E612" s="175" t="str">
        <f>IF(B612="-","",INDEX('Inventaire M'!$A$2:$AW$9305,MATCH(B612,'Inventaire M'!$A:$A,0)-1,MATCH("Cours EUR",'Inventaire M'!#REF!,0)))</f>
        <v/>
      </c>
      <c r="F612" s="175" t="str">
        <f>IF(B612="-","",IF(ISERROR(INDEX('Inventaire M-1'!$A$2:$AZ$9320,MATCH(B612,'Inventaire M-1'!$A:$A,0)-1,MATCH("Cours EUR",'Inventaire M-1'!#REF!,0))),"Buy",INDEX('Inventaire M-1'!$A$2:$AZ$9320,MATCH(B612,'Inventaire M-1'!$A:$A,0)-1,MATCH("Cours EUR",'Inventaire M-1'!#REF!,0))))</f>
        <v/>
      </c>
      <c r="G612" s="175"/>
      <c r="H612" s="156" t="str">
        <f>IF(B612="-","",INDEX('Inventaire M'!$A$2:$AW$9305,MATCH(B612,'Inventaire M'!$A:$A,0)-1,MATCH("quantite",'Inventaire M'!#REF!,0)))</f>
        <v/>
      </c>
      <c r="I612" s="156" t="str">
        <f>IF(C612="-","",IF(ISERROR(INDEX('Inventaire M-1'!$A$2:$AZ$9320,MATCH(B612,'Inventaire M-1'!$A:$A,0)-1,MATCH("quantite",'Inventaire M-1'!#REF!,0))),"Buy",INDEX('Inventaire M-1'!$A$2:$AZ$9320,MATCH(B612,'Inventaire M-1'!$A:$A,0)-1,MATCH("quantite",'Inventaire M-1'!#REF!,0))))</f>
        <v/>
      </c>
      <c r="J612" s="175"/>
      <c r="K612" s="155" t="str">
        <f>IF(B612="-","",INDEX('Inventaire M'!$A$2:$AW$9305,MATCH(B612,'Inventaire M'!$A:$A,0)-1,MATCH("poids",'Inventaire M'!#REF!,0)))</f>
        <v/>
      </c>
      <c r="L612" s="155" t="str">
        <f>IF(B612="-","",IF(ISERROR(INDEX('Inventaire M-1'!$A$2:$AZ$9320,MATCH(B612,'Inventaire M-1'!$A:$A,0)-1,MATCH("poids",'Inventaire M-1'!#REF!,0))),"Buy",INDEX('Inventaire M-1'!$A$2:$AZ$9320,MATCH(B612,'Inventaire M-1'!$A:$A,0)-1,MATCH("poids",'Inventaire M-1'!#REF!,0))))</f>
        <v/>
      </c>
      <c r="M612" s="175"/>
      <c r="N612" s="157" t="str">
        <f t="shared" si="67"/>
        <v>0</v>
      </c>
      <c r="O612" s="98" t="str">
        <f t="shared" si="66"/>
        <v/>
      </c>
      <c r="P612" s="80" t="str">
        <f t="shared" si="68"/>
        <v>-</v>
      </c>
      <c r="Q612" s="75">
        <v>5.8799999999999997E-8</v>
      </c>
      <c r="R612" s="175" t="str">
        <f>IF(OR('Inventaire M-1'!D364="Dispo/Liquidité Investie",'Inventaire M-1'!D364="Option/Future",'Inventaire M-1'!D364="TCN",'Inventaire M-1'!D364=""),"-",'Inventaire M-1'!A364)</f>
        <v>-</v>
      </c>
      <c r="S612" s="175" t="str">
        <f>IF(OR('Inventaire M-1'!D364="Dispo/Liquidité Investie",'Inventaire M-1'!D364="Option/Future",'Inventaire M-1'!D364="TCN",'Inventaire M-1'!D364=""),"-",'Inventaire M-1'!B364)</f>
        <v>-</v>
      </c>
      <c r="T612" s="175"/>
      <c r="U612" s="175" t="str">
        <f>IF(R612="-","",INDEX('Inventaire M-1'!$A$2:$AG$9334,MATCH(R612,'Inventaire M-1'!$A:$A,0)-1,MATCH("Cours EUR",'Inventaire M-1'!#REF!,0)))</f>
        <v/>
      </c>
      <c r="V612" s="175" t="str">
        <f>IF(R612="-","",IF(ISERROR(INDEX('Inventaire M'!$A$2:$AD$9319,MATCH(R612,'Inventaire M'!$A:$A,0)-1,MATCH("Cours EUR",'Inventaire M'!#REF!,0))),"Sell",INDEX('Inventaire M'!$A$2:$AD$9319,MATCH(R612,'Inventaire M'!$A:$A,0)-1,MATCH("Cours EUR",'Inventaire M'!#REF!,0))))</f>
        <v/>
      </c>
      <c r="W612" s="175"/>
      <c r="X612" s="156" t="str">
        <f>IF(R612="-","",INDEX('Inventaire M-1'!$A$2:$AG$9334,MATCH(R612,'Inventaire M-1'!$A:$A,0)-1,MATCH("quantite",'Inventaire M-1'!#REF!,0)))</f>
        <v/>
      </c>
      <c r="Y612" s="156" t="str">
        <f>IF(S612="-","",IF(ISERROR(INDEX('Inventaire M'!$A$2:$AD$9319,MATCH(R612,'Inventaire M'!$A:$A,0)-1,MATCH("quantite",'Inventaire M'!#REF!,0))),"Sell",INDEX('Inventaire M'!$A$2:$AD$9319,MATCH(R612,'Inventaire M'!$A:$A,0)-1,MATCH("quantite",'Inventaire M'!#REF!,0))))</f>
        <v/>
      </c>
      <c r="Z612" s="175"/>
      <c r="AA612" s="155" t="str">
        <f>IF(R612="-","",INDEX('Inventaire M-1'!$A$2:$AG$9334,MATCH(R612,'Inventaire M-1'!$A:$A,0)-1,MATCH("poids",'Inventaire M-1'!#REF!,0)))</f>
        <v/>
      </c>
      <c r="AB612" s="155" t="str">
        <f>IF(R612="-","",IF(ISERROR(INDEX('Inventaire M'!$A$2:$AD$9319,MATCH(R612,'Inventaire M'!$A:$A,0)-1,MATCH("poids",'Inventaire M'!#REF!,0))),"Sell",INDEX('Inventaire M'!$A$2:$AD$9319,MATCH(R612,'Inventaire M'!$A:$A,0)-1,MATCH("poids",'Inventaire M'!#REF!,0))))</f>
        <v/>
      </c>
      <c r="AC612" s="175"/>
      <c r="AD612" s="157" t="str">
        <f t="shared" si="69"/>
        <v>0</v>
      </c>
      <c r="AE612" s="98" t="str">
        <f t="shared" si="70"/>
        <v/>
      </c>
      <c r="AF612" s="80" t="str">
        <f t="shared" si="71"/>
        <v>-</v>
      </c>
    </row>
    <row r="613" spans="2:32" outlineLevel="1">
      <c r="B613" s="175" t="str">
        <f>IF(OR('Inventaire M'!D386="Dispo/Liquidité Investie",'Inventaire M'!D386="Option/Future",'Inventaire M'!D386="TCN",'Inventaire M'!D386=""),"-",'Inventaire M'!A386)</f>
        <v>-</v>
      </c>
      <c r="C613" s="175" t="str">
        <f>IF(OR('Inventaire M'!D386="Dispo/Liquidité Investie",'Inventaire M'!D386="Option/Future",'Inventaire M'!D386="TCN",'Inventaire M'!D386=""),"-",'Inventaire M'!B386)</f>
        <v>-</v>
      </c>
      <c r="D613" s="175"/>
      <c r="E613" s="175" t="str">
        <f>IF(B613="-","",INDEX('Inventaire M'!$A$2:$AW$9305,MATCH(B613,'Inventaire M'!$A:$A,0)-1,MATCH("Cours EUR",'Inventaire M'!#REF!,0)))</f>
        <v/>
      </c>
      <c r="F613" s="175" t="str">
        <f>IF(B613="-","",IF(ISERROR(INDEX('Inventaire M-1'!$A$2:$AZ$9320,MATCH(B613,'Inventaire M-1'!$A:$A,0)-1,MATCH("Cours EUR",'Inventaire M-1'!#REF!,0))),"Buy",INDEX('Inventaire M-1'!$A$2:$AZ$9320,MATCH(B613,'Inventaire M-1'!$A:$A,0)-1,MATCH("Cours EUR",'Inventaire M-1'!#REF!,0))))</f>
        <v/>
      </c>
      <c r="G613" s="175"/>
      <c r="H613" s="156" t="str">
        <f>IF(B613="-","",INDEX('Inventaire M'!$A$2:$AW$9305,MATCH(B613,'Inventaire M'!$A:$A,0)-1,MATCH("quantite",'Inventaire M'!#REF!,0)))</f>
        <v/>
      </c>
      <c r="I613" s="156" t="str">
        <f>IF(C613="-","",IF(ISERROR(INDEX('Inventaire M-1'!$A$2:$AZ$9320,MATCH(B613,'Inventaire M-1'!$A:$A,0)-1,MATCH("quantite",'Inventaire M-1'!#REF!,0))),"Buy",INDEX('Inventaire M-1'!$A$2:$AZ$9320,MATCH(B613,'Inventaire M-1'!$A:$A,0)-1,MATCH("quantite",'Inventaire M-1'!#REF!,0))))</f>
        <v/>
      </c>
      <c r="J613" s="175"/>
      <c r="K613" s="155" t="str">
        <f>IF(B613="-","",INDEX('Inventaire M'!$A$2:$AW$9305,MATCH(B613,'Inventaire M'!$A:$A,0)-1,MATCH("poids",'Inventaire M'!#REF!,0)))</f>
        <v/>
      </c>
      <c r="L613" s="155" t="str">
        <f>IF(B613="-","",IF(ISERROR(INDEX('Inventaire M-1'!$A$2:$AZ$9320,MATCH(B613,'Inventaire M-1'!$A:$A,0)-1,MATCH("poids",'Inventaire M-1'!#REF!,0))),"Buy",INDEX('Inventaire M-1'!$A$2:$AZ$9320,MATCH(B613,'Inventaire M-1'!$A:$A,0)-1,MATCH("poids",'Inventaire M-1'!#REF!,0))))</f>
        <v/>
      </c>
      <c r="M613" s="175"/>
      <c r="N613" s="157" t="str">
        <f t="shared" si="67"/>
        <v>0</v>
      </c>
      <c r="O613" s="98" t="str">
        <f t="shared" si="66"/>
        <v/>
      </c>
      <c r="P613" s="80" t="str">
        <f t="shared" si="68"/>
        <v>-</v>
      </c>
      <c r="Q613" s="75">
        <v>5.8899999999999998E-8</v>
      </c>
      <c r="R613" s="175" t="str">
        <f>IF(OR('Inventaire M-1'!D365="Dispo/Liquidité Investie",'Inventaire M-1'!D365="Option/Future",'Inventaire M-1'!D365="TCN",'Inventaire M-1'!D365=""),"-",'Inventaire M-1'!A365)</f>
        <v>-</v>
      </c>
      <c r="S613" s="175" t="str">
        <f>IF(OR('Inventaire M-1'!D365="Dispo/Liquidité Investie",'Inventaire M-1'!D365="Option/Future",'Inventaire M-1'!D365="TCN",'Inventaire M-1'!D365=""),"-",'Inventaire M-1'!B365)</f>
        <v>-</v>
      </c>
      <c r="T613" s="175"/>
      <c r="U613" s="175" t="str">
        <f>IF(R613="-","",INDEX('Inventaire M-1'!$A$2:$AG$9334,MATCH(R613,'Inventaire M-1'!$A:$A,0)-1,MATCH("Cours EUR",'Inventaire M-1'!#REF!,0)))</f>
        <v/>
      </c>
      <c r="V613" s="175" t="str">
        <f>IF(R613="-","",IF(ISERROR(INDEX('Inventaire M'!$A$2:$AD$9319,MATCH(R613,'Inventaire M'!$A:$A,0)-1,MATCH("Cours EUR",'Inventaire M'!#REF!,0))),"Sell",INDEX('Inventaire M'!$A$2:$AD$9319,MATCH(R613,'Inventaire M'!$A:$A,0)-1,MATCH("Cours EUR",'Inventaire M'!#REF!,0))))</f>
        <v/>
      </c>
      <c r="W613" s="175"/>
      <c r="X613" s="156" t="str">
        <f>IF(R613="-","",INDEX('Inventaire M-1'!$A$2:$AG$9334,MATCH(R613,'Inventaire M-1'!$A:$A,0)-1,MATCH("quantite",'Inventaire M-1'!#REF!,0)))</f>
        <v/>
      </c>
      <c r="Y613" s="156" t="str">
        <f>IF(S613="-","",IF(ISERROR(INDEX('Inventaire M'!$A$2:$AD$9319,MATCH(R613,'Inventaire M'!$A:$A,0)-1,MATCH("quantite",'Inventaire M'!#REF!,0))),"Sell",INDEX('Inventaire M'!$A$2:$AD$9319,MATCH(R613,'Inventaire M'!$A:$A,0)-1,MATCH("quantite",'Inventaire M'!#REF!,0))))</f>
        <v/>
      </c>
      <c r="Z613" s="175"/>
      <c r="AA613" s="155" t="str">
        <f>IF(R613="-","",INDEX('Inventaire M-1'!$A$2:$AG$9334,MATCH(R613,'Inventaire M-1'!$A:$A,0)-1,MATCH("poids",'Inventaire M-1'!#REF!,0)))</f>
        <v/>
      </c>
      <c r="AB613" s="155" t="str">
        <f>IF(R613="-","",IF(ISERROR(INDEX('Inventaire M'!$A$2:$AD$9319,MATCH(R613,'Inventaire M'!$A:$A,0)-1,MATCH("poids",'Inventaire M'!#REF!,0))),"Sell",INDEX('Inventaire M'!$A$2:$AD$9319,MATCH(R613,'Inventaire M'!$A:$A,0)-1,MATCH("poids",'Inventaire M'!#REF!,0))))</f>
        <v/>
      </c>
      <c r="AC613" s="175"/>
      <c r="AD613" s="157" t="str">
        <f t="shared" si="69"/>
        <v>0</v>
      </c>
      <c r="AE613" s="98" t="str">
        <f t="shared" si="70"/>
        <v/>
      </c>
      <c r="AF613" s="80" t="str">
        <f t="shared" si="71"/>
        <v>-</v>
      </c>
    </row>
    <row r="614" spans="2:32" outlineLevel="1">
      <c r="B614" s="175" t="str">
        <f>IF(OR('Inventaire M'!D387="Dispo/Liquidité Investie",'Inventaire M'!D387="Option/Future",'Inventaire M'!D387="TCN",'Inventaire M'!D387=""),"-",'Inventaire M'!A387)</f>
        <v>-</v>
      </c>
      <c r="C614" s="175" t="str">
        <f>IF(OR('Inventaire M'!D387="Dispo/Liquidité Investie",'Inventaire M'!D387="Option/Future",'Inventaire M'!D387="TCN",'Inventaire M'!D387=""),"-",'Inventaire M'!B387)</f>
        <v>-</v>
      </c>
      <c r="D614" s="175"/>
      <c r="E614" s="175" t="str">
        <f>IF(B614="-","",INDEX('Inventaire M'!$A$2:$AW$9305,MATCH(B614,'Inventaire M'!$A:$A,0)-1,MATCH("Cours EUR",'Inventaire M'!#REF!,0)))</f>
        <v/>
      </c>
      <c r="F614" s="175" t="str">
        <f>IF(B614="-","",IF(ISERROR(INDEX('Inventaire M-1'!$A$2:$AZ$9320,MATCH(B614,'Inventaire M-1'!$A:$A,0)-1,MATCH("Cours EUR",'Inventaire M-1'!#REF!,0))),"Buy",INDEX('Inventaire M-1'!$A$2:$AZ$9320,MATCH(B614,'Inventaire M-1'!$A:$A,0)-1,MATCH("Cours EUR",'Inventaire M-1'!#REF!,0))))</f>
        <v/>
      </c>
      <c r="G614" s="175"/>
      <c r="H614" s="156" t="str">
        <f>IF(B614="-","",INDEX('Inventaire M'!$A$2:$AW$9305,MATCH(B614,'Inventaire M'!$A:$A,0)-1,MATCH("quantite",'Inventaire M'!#REF!,0)))</f>
        <v/>
      </c>
      <c r="I614" s="156" t="str">
        <f>IF(C614="-","",IF(ISERROR(INDEX('Inventaire M-1'!$A$2:$AZ$9320,MATCH(B614,'Inventaire M-1'!$A:$A,0)-1,MATCH("quantite",'Inventaire M-1'!#REF!,0))),"Buy",INDEX('Inventaire M-1'!$A$2:$AZ$9320,MATCH(B614,'Inventaire M-1'!$A:$A,0)-1,MATCH("quantite",'Inventaire M-1'!#REF!,0))))</f>
        <v/>
      </c>
      <c r="J614" s="175"/>
      <c r="K614" s="155" t="str">
        <f>IF(B614="-","",INDEX('Inventaire M'!$A$2:$AW$9305,MATCH(B614,'Inventaire M'!$A:$A,0)-1,MATCH("poids",'Inventaire M'!#REF!,0)))</f>
        <v/>
      </c>
      <c r="L614" s="155" t="str">
        <f>IF(B614="-","",IF(ISERROR(INDEX('Inventaire M-1'!$A$2:$AZ$9320,MATCH(B614,'Inventaire M-1'!$A:$A,0)-1,MATCH("poids",'Inventaire M-1'!#REF!,0))),"Buy",INDEX('Inventaire M-1'!$A$2:$AZ$9320,MATCH(B614,'Inventaire M-1'!$A:$A,0)-1,MATCH("poids",'Inventaire M-1'!#REF!,0))))</f>
        <v/>
      </c>
      <c r="M614" s="175"/>
      <c r="N614" s="157" t="str">
        <f t="shared" si="67"/>
        <v>0</v>
      </c>
      <c r="O614" s="98" t="str">
        <f t="shared" si="66"/>
        <v/>
      </c>
      <c r="P614" s="80" t="str">
        <f t="shared" si="68"/>
        <v>-</v>
      </c>
      <c r="Q614" s="75">
        <v>5.8999999999999999E-8</v>
      </c>
      <c r="R614" s="175" t="str">
        <f>IF(OR('Inventaire M-1'!D366="Dispo/Liquidité Investie",'Inventaire M-1'!D366="Option/Future",'Inventaire M-1'!D366="TCN",'Inventaire M-1'!D366=""),"-",'Inventaire M-1'!A366)</f>
        <v>-</v>
      </c>
      <c r="S614" s="175" t="str">
        <f>IF(OR('Inventaire M-1'!D366="Dispo/Liquidité Investie",'Inventaire M-1'!D366="Option/Future",'Inventaire M-1'!D366="TCN",'Inventaire M-1'!D366=""),"-",'Inventaire M-1'!B366)</f>
        <v>-</v>
      </c>
      <c r="T614" s="175"/>
      <c r="U614" s="175" t="str">
        <f>IF(R614="-","",INDEX('Inventaire M-1'!$A$2:$AG$9334,MATCH(R614,'Inventaire M-1'!$A:$A,0)-1,MATCH("Cours EUR",'Inventaire M-1'!#REF!,0)))</f>
        <v/>
      </c>
      <c r="V614" s="175" t="str">
        <f>IF(R614="-","",IF(ISERROR(INDEX('Inventaire M'!$A$2:$AD$9319,MATCH(R614,'Inventaire M'!$A:$A,0)-1,MATCH("Cours EUR",'Inventaire M'!#REF!,0))),"Sell",INDEX('Inventaire M'!$A$2:$AD$9319,MATCH(R614,'Inventaire M'!$A:$A,0)-1,MATCH("Cours EUR",'Inventaire M'!#REF!,0))))</f>
        <v/>
      </c>
      <c r="W614" s="175"/>
      <c r="X614" s="156" t="str">
        <f>IF(R614="-","",INDEX('Inventaire M-1'!$A$2:$AG$9334,MATCH(R614,'Inventaire M-1'!$A:$A,0)-1,MATCH("quantite",'Inventaire M-1'!#REF!,0)))</f>
        <v/>
      </c>
      <c r="Y614" s="156" t="str">
        <f>IF(S614="-","",IF(ISERROR(INDEX('Inventaire M'!$A$2:$AD$9319,MATCH(R614,'Inventaire M'!$A:$A,0)-1,MATCH("quantite",'Inventaire M'!#REF!,0))),"Sell",INDEX('Inventaire M'!$A$2:$AD$9319,MATCH(R614,'Inventaire M'!$A:$A,0)-1,MATCH("quantite",'Inventaire M'!#REF!,0))))</f>
        <v/>
      </c>
      <c r="Z614" s="175"/>
      <c r="AA614" s="155" t="str">
        <f>IF(R614="-","",INDEX('Inventaire M-1'!$A$2:$AG$9334,MATCH(R614,'Inventaire M-1'!$A:$A,0)-1,MATCH("poids",'Inventaire M-1'!#REF!,0)))</f>
        <v/>
      </c>
      <c r="AB614" s="155" t="str">
        <f>IF(R614="-","",IF(ISERROR(INDEX('Inventaire M'!$A$2:$AD$9319,MATCH(R614,'Inventaire M'!$A:$A,0)-1,MATCH("poids",'Inventaire M'!#REF!,0))),"Sell",INDEX('Inventaire M'!$A$2:$AD$9319,MATCH(R614,'Inventaire M'!$A:$A,0)-1,MATCH("poids",'Inventaire M'!#REF!,0))))</f>
        <v/>
      </c>
      <c r="AC614" s="175"/>
      <c r="AD614" s="157" t="str">
        <f t="shared" si="69"/>
        <v>0</v>
      </c>
      <c r="AE614" s="98" t="str">
        <f t="shared" si="70"/>
        <v/>
      </c>
      <c r="AF614" s="80" t="str">
        <f t="shared" si="71"/>
        <v>-</v>
      </c>
    </row>
    <row r="615" spans="2:32" outlineLevel="1">
      <c r="B615" s="175" t="str">
        <f>IF(OR('Inventaire M'!D388="Dispo/Liquidité Investie",'Inventaire M'!D388="Option/Future",'Inventaire M'!D388="TCN",'Inventaire M'!D388=""),"-",'Inventaire M'!A388)</f>
        <v>-</v>
      </c>
      <c r="C615" s="175" t="str">
        <f>IF(OR('Inventaire M'!D388="Dispo/Liquidité Investie",'Inventaire M'!D388="Option/Future",'Inventaire M'!D388="TCN",'Inventaire M'!D388=""),"-",'Inventaire M'!B388)</f>
        <v>-</v>
      </c>
      <c r="D615" s="175"/>
      <c r="E615" s="175" t="str">
        <f>IF(B615="-","",INDEX('Inventaire M'!$A$2:$AW$9305,MATCH(B615,'Inventaire M'!$A:$A,0)-1,MATCH("Cours EUR",'Inventaire M'!#REF!,0)))</f>
        <v/>
      </c>
      <c r="F615" s="175" t="str">
        <f>IF(B615="-","",IF(ISERROR(INDEX('Inventaire M-1'!$A$2:$AZ$9320,MATCH(B615,'Inventaire M-1'!$A:$A,0)-1,MATCH("Cours EUR",'Inventaire M-1'!#REF!,0))),"Buy",INDEX('Inventaire M-1'!$A$2:$AZ$9320,MATCH(B615,'Inventaire M-1'!$A:$A,0)-1,MATCH("Cours EUR",'Inventaire M-1'!#REF!,0))))</f>
        <v/>
      </c>
      <c r="G615" s="175"/>
      <c r="H615" s="156" t="str">
        <f>IF(B615="-","",INDEX('Inventaire M'!$A$2:$AW$9305,MATCH(B615,'Inventaire M'!$A:$A,0)-1,MATCH("quantite",'Inventaire M'!#REF!,0)))</f>
        <v/>
      </c>
      <c r="I615" s="156" t="str">
        <f>IF(C615="-","",IF(ISERROR(INDEX('Inventaire M-1'!$A$2:$AZ$9320,MATCH(B615,'Inventaire M-1'!$A:$A,0)-1,MATCH("quantite",'Inventaire M-1'!#REF!,0))),"Buy",INDEX('Inventaire M-1'!$A$2:$AZ$9320,MATCH(B615,'Inventaire M-1'!$A:$A,0)-1,MATCH("quantite",'Inventaire M-1'!#REF!,0))))</f>
        <v/>
      </c>
      <c r="J615" s="175"/>
      <c r="K615" s="155" t="str">
        <f>IF(B615="-","",INDEX('Inventaire M'!$A$2:$AW$9305,MATCH(B615,'Inventaire M'!$A:$A,0)-1,MATCH("poids",'Inventaire M'!#REF!,0)))</f>
        <v/>
      </c>
      <c r="L615" s="155" t="str">
        <f>IF(B615="-","",IF(ISERROR(INDEX('Inventaire M-1'!$A$2:$AZ$9320,MATCH(B615,'Inventaire M-1'!$A:$A,0)-1,MATCH("poids",'Inventaire M-1'!#REF!,0))),"Buy",INDEX('Inventaire M-1'!$A$2:$AZ$9320,MATCH(B615,'Inventaire M-1'!$A:$A,0)-1,MATCH("poids",'Inventaire M-1'!#REF!,0))))</f>
        <v/>
      </c>
      <c r="M615" s="175"/>
      <c r="N615" s="157" t="str">
        <f t="shared" si="67"/>
        <v>0</v>
      </c>
      <c r="O615" s="98" t="str">
        <f t="shared" si="66"/>
        <v/>
      </c>
      <c r="P615" s="80" t="str">
        <f t="shared" si="68"/>
        <v>-</v>
      </c>
      <c r="Q615" s="75">
        <v>5.91E-8</v>
      </c>
      <c r="R615" s="175" t="str">
        <f>IF(OR('Inventaire M-1'!D367="Dispo/Liquidité Investie",'Inventaire M-1'!D367="Option/Future",'Inventaire M-1'!D367="TCN",'Inventaire M-1'!D367=""),"-",'Inventaire M-1'!A367)</f>
        <v>-</v>
      </c>
      <c r="S615" s="175" t="str">
        <f>IF(OR('Inventaire M-1'!D367="Dispo/Liquidité Investie",'Inventaire M-1'!D367="Option/Future",'Inventaire M-1'!D367="TCN",'Inventaire M-1'!D367=""),"-",'Inventaire M-1'!B367)</f>
        <v>-</v>
      </c>
      <c r="T615" s="175"/>
      <c r="U615" s="175" t="str">
        <f>IF(R615="-","",INDEX('Inventaire M-1'!$A$2:$AG$9334,MATCH(R615,'Inventaire M-1'!$A:$A,0)-1,MATCH("Cours EUR",'Inventaire M-1'!#REF!,0)))</f>
        <v/>
      </c>
      <c r="V615" s="175" t="str">
        <f>IF(R615="-","",IF(ISERROR(INDEX('Inventaire M'!$A$2:$AD$9319,MATCH(R615,'Inventaire M'!$A:$A,0)-1,MATCH("Cours EUR",'Inventaire M'!#REF!,0))),"Sell",INDEX('Inventaire M'!$A$2:$AD$9319,MATCH(R615,'Inventaire M'!$A:$A,0)-1,MATCH("Cours EUR",'Inventaire M'!#REF!,0))))</f>
        <v/>
      </c>
      <c r="W615" s="175"/>
      <c r="X615" s="156" t="str">
        <f>IF(R615="-","",INDEX('Inventaire M-1'!$A$2:$AG$9334,MATCH(R615,'Inventaire M-1'!$A:$A,0)-1,MATCH("quantite",'Inventaire M-1'!#REF!,0)))</f>
        <v/>
      </c>
      <c r="Y615" s="156" t="str">
        <f>IF(S615="-","",IF(ISERROR(INDEX('Inventaire M'!$A$2:$AD$9319,MATCH(R615,'Inventaire M'!$A:$A,0)-1,MATCH("quantite",'Inventaire M'!#REF!,0))),"Sell",INDEX('Inventaire M'!$A$2:$AD$9319,MATCH(R615,'Inventaire M'!$A:$A,0)-1,MATCH("quantite",'Inventaire M'!#REF!,0))))</f>
        <v/>
      </c>
      <c r="Z615" s="175"/>
      <c r="AA615" s="155" t="str">
        <f>IF(R615="-","",INDEX('Inventaire M-1'!$A$2:$AG$9334,MATCH(R615,'Inventaire M-1'!$A:$A,0)-1,MATCH("poids",'Inventaire M-1'!#REF!,0)))</f>
        <v/>
      </c>
      <c r="AB615" s="155" t="str">
        <f>IF(R615="-","",IF(ISERROR(INDEX('Inventaire M'!$A$2:$AD$9319,MATCH(R615,'Inventaire M'!$A:$A,0)-1,MATCH("poids",'Inventaire M'!#REF!,0))),"Sell",INDEX('Inventaire M'!$A$2:$AD$9319,MATCH(R615,'Inventaire M'!$A:$A,0)-1,MATCH("poids",'Inventaire M'!#REF!,0))))</f>
        <v/>
      </c>
      <c r="AC615" s="175"/>
      <c r="AD615" s="157" t="str">
        <f t="shared" si="69"/>
        <v>0</v>
      </c>
      <c r="AE615" s="98" t="str">
        <f t="shared" si="70"/>
        <v/>
      </c>
      <c r="AF615" s="80" t="str">
        <f t="shared" si="71"/>
        <v>-</v>
      </c>
    </row>
    <row r="616" spans="2:32" outlineLevel="1">
      <c r="B616" s="175" t="str">
        <f>IF(OR('Inventaire M'!D389="Dispo/Liquidité Investie",'Inventaire M'!D389="Option/Future",'Inventaire M'!D389="TCN",'Inventaire M'!D389=""),"-",'Inventaire M'!A389)</f>
        <v>-</v>
      </c>
      <c r="C616" s="175" t="str">
        <f>IF(OR('Inventaire M'!D389="Dispo/Liquidité Investie",'Inventaire M'!D389="Option/Future",'Inventaire M'!D389="TCN",'Inventaire M'!D389=""),"-",'Inventaire M'!B389)</f>
        <v>-</v>
      </c>
      <c r="D616" s="175"/>
      <c r="E616" s="175" t="str">
        <f>IF(B616="-","",INDEX('Inventaire M'!$A$2:$AW$9305,MATCH(B616,'Inventaire M'!$A:$A,0)-1,MATCH("Cours EUR",'Inventaire M'!#REF!,0)))</f>
        <v/>
      </c>
      <c r="F616" s="175" t="str">
        <f>IF(B616="-","",IF(ISERROR(INDEX('Inventaire M-1'!$A$2:$AZ$9320,MATCH(B616,'Inventaire M-1'!$A:$A,0)-1,MATCH("Cours EUR",'Inventaire M-1'!#REF!,0))),"Buy",INDEX('Inventaire M-1'!$A$2:$AZ$9320,MATCH(B616,'Inventaire M-1'!$A:$A,0)-1,MATCH("Cours EUR",'Inventaire M-1'!#REF!,0))))</f>
        <v/>
      </c>
      <c r="G616" s="175"/>
      <c r="H616" s="156" t="str">
        <f>IF(B616="-","",INDEX('Inventaire M'!$A$2:$AW$9305,MATCH(B616,'Inventaire M'!$A:$A,0)-1,MATCH("quantite",'Inventaire M'!#REF!,0)))</f>
        <v/>
      </c>
      <c r="I616" s="156" t="str">
        <f>IF(C616="-","",IF(ISERROR(INDEX('Inventaire M-1'!$A$2:$AZ$9320,MATCH(B616,'Inventaire M-1'!$A:$A,0)-1,MATCH("quantite",'Inventaire M-1'!#REF!,0))),"Buy",INDEX('Inventaire M-1'!$A$2:$AZ$9320,MATCH(B616,'Inventaire M-1'!$A:$A,0)-1,MATCH("quantite",'Inventaire M-1'!#REF!,0))))</f>
        <v/>
      </c>
      <c r="J616" s="175"/>
      <c r="K616" s="155" t="str">
        <f>IF(B616="-","",INDEX('Inventaire M'!$A$2:$AW$9305,MATCH(B616,'Inventaire M'!$A:$A,0)-1,MATCH("poids",'Inventaire M'!#REF!,0)))</f>
        <v/>
      </c>
      <c r="L616" s="155" t="str">
        <f>IF(B616="-","",IF(ISERROR(INDEX('Inventaire M-1'!$A$2:$AZ$9320,MATCH(B616,'Inventaire M-1'!$A:$A,0)-1,MATCH("poids",'Inventaire M-1'!#REF!,0))),"Buy",INDEX('Inventaire M-1'!$A$2:$AZ$9320,MATCH(B616,'Inventaire M-1'!$A:$A,0)-1,MATCH("poids",'Inventaire M-1'!#REF!,0))))</f>
        <v/>
      </c>
      <c r="M616" s="175"/>
      <c r="N616" s="157" t="str">
        <f t="shared" si="67"/>
        <v>0</v>
      </c>
      <c r="O616" s="98" t="str">
        <f t="shared" si="66"/>
        <v/>
      </c>
      <c r="P616" s="80" t="str">
        <f t="shared" si="68"/>
        <v>-</v>
      </c>
      <c r="Q616" s="75">
        <v>5.9200000000000001E-8</v>
      </c>
      <c r="R616" s="175" t="str">
        <f>IF(OR('Inventaire M-1'!D368="Dispo/Liquidité Investie",'Inventaire M-1'!D368="Option/Future",'Inventaire M-1'!D368="TCN",'Inventaire M-1'!D368=""),"-",'Inventaire M-1'!A368)</f>
        <v>-</v>
      </c>
      <c r="S616" s="175" t="str">
        <f>IF(OR('Inventaire M-1'!D368="Dispo/Liquidité Investie",'Inventaire M-1'!D368="Option/Future",'Inventaire M-1'!D368="TCN",'Inventaire M-1'!D368=""),"-",'Inventaire M-1'!B368)</f>
        <v>-</v>
      </c>
      <c r="T616" s="175"/>
      <c r="U616" s="175" t="str">
        <f>IF(R616="-","",INDEX('Inventaire M-1'!$A$2:$AG$9334,MATCH(R616,'Inventaire M-1'!$A:$A,0)-1,MATCH("Cours EUR",'Inventaire M-1'!#REF!,0)))</f>
        <v/>
      </c>
      <c r="V616" s="175" t="str">
        <f>IF(R616="-","",IF(ISERROR(INDEX('Inventaire M'!$A$2:$AD$9319,MATCH(R616,'Inventaire M'!$A:$A,0)-1,MATCH("Cours EUR",'Inventaire M'!#REF!,0))),"Sell",INDEX('Inventaire M'!$A$2:$AD$9319,MATCH(R616,'Inventaire M'!$A:$A,0)-1,MATCH("Cours EUR",'Inventaire M'!#REF!,0))))</f>
        <v/>
      </c>
      <c r="W616" s="175"/>
      <c r="X616" s="156" t="str">
        <f>IF(R616="-","",INDEX('Inventaire M-1'!$A$2:$AG$9334,MATCH(R616,'Inventaire M-1'!$A:$A,0)-1,MATCH("quantite",'Inventaire M-1'!#REF!,0)))</f>
        <v/>
      </c>
      <c r="Y616" s="156" t="str">
        <f>IF(S616="-","",IF(ISERROR(INDEX('Inventaire M'!$A$2:$AD$9319,MATCH(R616,'Inventaire M'!$A:$A,0)-1,MATCH("quantite",'Inventaire M'!#REF!,0))),"Sell",INDEX('Inventaire M'!$A$2:$AD$9319,MATCH(R616,'Inventaire M'!$A:$A,0)-1,MATCH("quantite",'Inventaire M'!#REF!,0))))</f>
        <v/>
      </c>
      <c r="Z616" s="175"/>
      <c r="AA616" s="155" t="str">
        <f>IF(R616="-","",INDEX('Inventaire M-1'!$A$2:$AG$9334,MATCH(R616,'Inventaire M-1'!$A:$A,0)-1,MATCH("poids",'Inventaire M-1'!#REF!,0)))</f>
        <v/>
      </c>
      <c r="AB616" s="155" t="str">
        <f>IF(R616="-","",IF(ISERROR(INDEX('Inventaire M'!$A$2:$AD$9319,MATCH(R616,'Inventaire M'!$A:$A,0)-1,MATCH("poids",'Inventaire M'!#REF!,0))),"Sell",INDEX('Inventaire M'!$A$2:$AD$9319,MATCH(R616,'Inventaire M'!$A:$A,0)-1,MATCH("poids",'Inventaire M'!#REF!,0))))</f>
        <v/>
      </c>
      <c r="AC616" s="175"/>
      <c r="AD616" s="157" t="str">
        <f t="shared" si="69"/>
        <v>0</v>
      </c>
      <c r="AE616" s="98" t="str">
        <f t="shared" si="70"/>
        <v/>
      </c>
      <c r="AF616" s="80" t="str">
        <f t="shared" si="71"/>
        <v>-</v>
      </c>
    </row>
    <row r="617" spans="2:32" outlineLevel="1">
      <c r="B617" s="175" t="str">
        <f>IF(OR('Inventaire M'!D390="Dispo/Liquidité Investie",'Inventaire M'!D390="Option/Future",'Inventaire M'!D390="TCN",'Inventaire M'!D390=""),"-",'Inventaire M'!A390)</f>
        <v>-</v>
      </c>
      <c r="C617" s="175" t="str">
        <f>IF(OR('Inventaire M'!D390="Dispo/Liquidité Investie",'Inventaire M'!D390="Option/Future",'Inventaire M'!D390="TCN",'Inventaire M'!D390=""),"-",'Inventaire M'!B390)</f>
        <v>-</v>
      </c>
      <c r="D617" s="175"/>
      <c r="E617" s="175" t="str">
        <f>IF(B617="-","",INDEX('Inventaire M'!$A$2:$AW$9305,MATCH(B617,'Inventaire M'!$A:$A,0)-1,MATCH("Cours EUR",'Inventaire M'!#REF!,0)))</f>
        <v/>
      </c>
      <c r="F617" s="175" t="str">
        <f>IF(B617="-","",IF(ISERROR(INDEX('Inventaire M-1'!$A$2:$AZ$9320,MATCH(B617,'Inventaire M-1'!$A:$A,0)-1,MATCH("Cours EUR",'Inventaire M-1'!#REF!,0))),"Buy",INDEX('Inventaire M-1'!$A$2:$AZ$9320,MATCH(B617,'Inventaire M-1'!$A:$A,0)-1,MATCH("Cours EUR",'Inventaire M-1'!#REF!,0))))</f>
        <v/>
      </c>
      <c r="G617" s="175"/>
      <c r="H617" s="156" t="str">
        <f>IF(B617="-","",INDEX('Inventaire M'!$A$2:$AW$9305,MATCH(B617,'Inventaire M'!$A:$A,0)-1,MATCH("quantite",'Inventaire M'!#REF!,0)))</f>
        <v/>
      </c>
      <c r="I617" s="156" t="str">
        <f>IF(C617="-","",IF(ISERROR(INDEX('Inventaire M-1'!$A$2:$AZ$9320,MATCH(B617,'Inventaire M-1'!$A:$A,0)-1,MATCH("quantite",'Inventaire M-1'!#REF!,0))),"Buy",INDEX('Inventaire M-1'!$A$2:$AZ$9320,MATCH(B617,'Inventaire M-1'!$A:$A,0)-1,MATCH("quantite",'Inventaire M-1'!#REF!,0))))</f>
        <v/>
      </c>
      <c r="J617" s="175"/>
      <c r="K617" s="155" t="str">
        <f>IF(B617="-","",INDEX('Inventaire M'!$A$2:$AW$9305,MATCH(B617,'Inventaire M'!$A:$A,0)-1,MATCH("poids",'Inventaire M'!#REF!,0)))</f>
        <v/>
      </c>
      <c r="L617" s="155" t="str">
        <f>IF(B617="-","",IF(ISERROR(INDEX('Inventaire M-1'!$A$2:$AZ$9320,MATCH(B617,'Inventaire M-1'!$A:$A,0)-1,MATCH("poids",'Inventaire M-1'!#REF!,0))),"Buy",INDEX('Inventaire M-1'!$A$2:$AZ$9320,MATCH(B617,'Inventaire M-1'!$A:$A,0)-1,MATCH("poids",'Inventaire M-1'!#REF!,0))))</f>
        <v/>
      </c>
      <c r="M617" s="175"/>
      <c r="N617" s="157" t="str">
        <f t="shared" si="67"/>
        <v>0</v>
      </c>
      <c r="O617" s="98" t="str">
        <f t="shared" si="66"/>
        <v/>
      </c>
      <c r="P617" s="80" t="str">
        <f t="shared" si="68"/>
        <v>-</v>
      </c>
      <c r="Q617" s="75">
        <v>5.9300000000000002E-8</v>
      </c>
      <c r="R617" s="175" t="str">
        <f>IF(OR('Inventaire M-1'!D369="Dispo/Liquidité Investie",'Inventaire M-1'!D369="Option/Future",'Inventaire M-1'!D369="TCN",'Inventaire M-1'!D369=""),"-",'Inventaire M-1'!A369)</f>
        <v>-</v>
      </c>
      <c r="S617" s="175" t="str">
        <f>IF(OR('Inventaire M-1'!D369="Dispo/Liquidité Investie",'Inventaire M-1'!D369="Option/Future",'Inventaire M-1'!D369="TCN",'Inventaire M-1'!D369=""),"-",'Inventaire M-1'!B369)</f>
        <v>-</v>
      </c>
      <c r="T617" s="175"/>
      <c r="U617" s="175" t="str">
        <f>IF(R617="-","",INDEX('Inventaire M-1'!$A$2:$AG$9334,MATCH(R617,'Inventaire M-1'!$A:$A,0)-1,MATCH("Cours EUR",'Inventaire M-1'!#REF!,0)))</f>
        <v/>
      </c>
      <c r="V617" s="175" t="str">
        <f>IF(R617="-","",IF(ISERROR(INDEX('Inventaire M'!$A$2:$AD$9319,MATCH(R617,'Inventaire M'!$A:$A,0)-1,MATCH("Cours EUR",'Inventaire M'!#REF!,0))),"Sell",INDEX('Inventaire M'!$A$2:$AD$9319,MATCH(R617,'Inventaire M'!$A:$A,0)-1,MATCH("Cours EUR",'Inventaire M'!#REF!,0))))</f>
        <v/>
      </c>
      <c r="W617" s="175"/>
      <c r="X617" s="156" t="str">
        <f>IF(R617="-","",INDEX('Inventaire M-1'!$A$2:$AG$9334,MATCH(R617,'Inventaire M-1'!$A:$A,0)-1,MATCH("quantite",'Inventaire M-1'!#REF!,0)))</f>
        <v/>
      </c>
      <c r="Y617" s="156" t="str">
        <f>IF(S617="-","",IF(ISERROR(INDEX('Inventaire M'!$A$2:$AD$9319,MATCH(R617,'Inventaire M'!$A:$A,0)-1,MATCH("quantite",'Inventaire M'!#REF!,0))),"Sell",INDEX('Inventaire M'!$A$2:$AD$9319,MATCH(R617,'Inventaire M'!$A:$A,0)-1,MATCH("quantite",'Inventaire M'!#REF!,0))))</f>
        <v/>
      </c>
      <c r="Z617" s="175"/>
      <c r="AA617" s="155" t="str">
        <f>IF(R617="-","",INDEX('Inventaire M-1'!$A$2:$AG$9334,MATCH(R617,'Inventaire M-1'!$A:$A,0)-1,MATCH("poids",'Inventaire M-1'!#REF!,0)))</f>
        <v/>
      </c>
      <c r="AB617" s="155" t="str">
        <f>IF(R617="-","",IF(ISERROR(INDEX('Inventaire M'!$A$2:$AD$9319,MATCH(R617,'Inventaire M'!$A:$A,0)-1,MATCH("poids",'Inventaire M'!#REF!,0))),"Sell",INDEX('Inventaire M'!$A$2:$AD$9319,MATCH(R617,'Inventaire M'!$A:$A,0)-1,MATCH("poids",'Inventaire M'!#REF!,0))))</f>
        <v/>
      </c>
      <c r="AC617" s="175"/>
      <c r="AD617" s="157" t="str">
        <f t="shared" si="69"/>
        <v>0</v>
      </c>
      <c r="AE617" s="98" t="str">
        <f t="shared" si="70"/>
        <v/>
      </c>
      <c r="AF617" s="80" t="str">
        <f t="shared" si="71"/>
        <v>-</v>
      </c>
    </row>
    <row r="618" spans="2:32" outlineLevel="1">
      <c r="B618" s="175" t="str">
        <f>IF(OR('Inventaire M'!D391="Dispo/Liquidité Investie",'Inventaire M'!D391="Option/Future",'Inventaire M'!D391="TCN",'Inventaire M'!D391=""),"-",'Inventaire M'!A391)</f>
        <v>-</v>
      </c>
      <c r="C618" s="175" t="str">
        <f>IF(OR('Inventaire M'!D391="Dispo/Liquidité Investie",'Inventaire M'!D391="Option/Future",'Inventaire M'!D391="TCN",'Inventaire M'!D391=""),"-",'Inventaire M'!B391)</f>
        <v>-</v>
      </c>
      <c r="D618" s="175"/>
      <c r="E618" s="175" t="str">
        <f>IF(B618="-","",INDEX('Inventaire M'!$A$2:$AW$9305,MATCH(B618,'Inventaire M'!$A:$A,0)-1,MATCH("Cours EUR",'Inventaire M'!#REF!,0)))</f>
        <v/>
      </c>
      <c r="F618" s="175" t="str">
        <f>IF(B618="-","",IF(ISERROR(INDEX('Inventaire M-1'!$A$2:$AZ$9320,MATCH(B618,'Inventaire M-1'!$A:$A,0)-1,MATCH("Cours EUR",'Inventaire M-1'!#REF!,0))),"Buy",INDEX('Inventaire M-1'!$A$2:$AZ$9320,MATCH(B618,'Inventaire M-1'!$A:$A,0)-1,MATCH("Cours EUR",'Inventaire M-1'!#REF!,0))))</f>
        <v/>
      </c>
      <c r="G618" s="175"/>
      <c r="H618" s="156" t="str">
        <f>IF(B618="-","",INDEX('Inventaire M'!$A$2:$AW$9305,MATCH(B618,'Inventaire M'!$A:$A,0)-1,MATCH("quantite",'Inventaire M'!#REF!,0)))</f>
        <v/>
      </c>
      <c r="I618" s="156" t="str">
        <f>IF(C618="-","",IF(ISERROR(INDEX('Inventaire M-1'!$A$2:$AZ$9320,MATCH(B618,'Inventaire M-1'!$A:$A,0)-1,MATCH("quantite",'Inventaire M-1'!#REF!,0))),"Buy",INDEX('Inventaire M-1'!$A$2:$AZ$9320,MATCH(B618,'Inventaire M-1'!$A:$A,0)-1,MATCH("quantite",'Inventaire M-1'!#REF!,0))))</f>
        <v/>
      </c>
      <c r="J618" s="175"/>
      <c r="K618" s="155" t="str">
        <f>IF(B618="-","",INDEX('Inventaire M'!$A$2:$AW$9305,MATCH(B618,'Inventaire M'!$A:$A,0)-1,MATCH("poids",'Inventaire M'!#REF!,0)))</f>
        <v/>
      </c>
      <c r="L618" s="155" t="str">
        <f>IF(B618="-","",IF(ISERROR(INDEX('Inventaire M-1'!$A$2:$AZ$9320,MATCH(B618,'Inventaire M-1'!$A:$A,0)-1,MATCH("poids",'Inventaire M-1'!#REF!,0))),"Buy",INDEX('Inventaire M-1'!$A$2:$AZ$9320,MATCH(B618,'Inventaire M-1'!$A:$A,0)-1,MATCH("poids",'Inventaire M-1'!#REF!,0))))</f>
        <v/>
      </c>
      <c r="M618" s="175"/>
      <c r="N618" s="157" t="str">
        <f t="shared" si="67"/>
        <v>0</v>
      </c>
      <c r="O618" s="98" t="str">
        <f t="shared" si="66"/>
        <v/>
      </c>
      <c r="P618" s="80" t="str">
        <f t="shared" si="68"/>
        <v>-</v>
      </c>
      <c r="Q618" s="75">
        <v>5.9400000000000003E-8</v>
      </c>
      <c r="R618" s="175" t="str">
        <f>IF(OR('Inventaire M-1'!D370="Dispo/Liquidité Investie",'Inventaire M-1'!D370="Option/Future",'Inventaire M-1'!D370="TCN",'Inventaire M-1'!D370=""),"-",'Inventaire M-1'!A370)</f>
        <v>-</v>
      </c>
      <c r="S618" s="175" t="str">
        <f>IF(OR('Inventaire M-1'!D370="Dispo/Liquidité Investie",'Inventaire M-1'!D370="Option/Future",'Inventaire M-1'!D370="TCN",'Inventaire M-1'!D370=""),"-",'Inventaire M-1'!B370)</f>
        <v>-</v>
      </c>
      <c r="T618" s="175"/>
      <c r="U618" s="175" t="str">
        <f>IF(R618="-","",INDEX('Inventaire M-1'!$A$2:$AG$9334,MATCH(R618,'Inventaire M-1'!$A:$A,0)-1,MATCH("Cours EUR",'Inventaire M-1'!#REF!,0)))</f>
        <v/>
      </c>
      <c r="V618" s="175" t="str">
        <f>IF(R618="-","",IF(ISERROR(INDEX('Inventaire M'!$A$2:$AD$9319,MATCH(R618,'Inventaire M'!$A:$A,0)-1,MATCH("Cours EUR",'Inventaire M'!#REF!,0))),"Sell",INDEX('Inventaire M'!$A$2:$AD$9319,MATCH(R618,'Inventaire M'!$A:$A,0)-1,MATCH("Cours EUR",'Inventaire M'!#REF!,0))))</f>
        <v/>
      </c>
      <c r="W618" s="175"/>
      <c r="X618" s="156" t="str">
        <f>IF(R618="-","",INDEX('Inventaire M-1'!$A$2:$AG$9334,MATCH(R618,'Inventaire M-1'!$A:$A,0)-1,MATCH("quantite",'Inventaire M-1'!#REF!,0)))</f>
        <v/>
      </c>
      <c r="Y618" s="156" t="str">
        <f>IF(S618="-","",IF(ISERROR(INDEX('Inventaire M'!$A$2:$AD$9319,MATCH(R618,'Inventaire M'!$A:$A,0)-1,MATCH("quantite",'Inventaire M'!#REF!,0))),"Sell",INDEX('Inventaire M'!$A$2:$AD$9319,MATCH(R618,'Inventaire M'!$A:$A,0)-1,MATCH("quantite",'Inventaire M'!#REF!,0))))</f>
        <v/>
      </c>
      <c r="Z618" s="175"/>
      <c r="AA618" s="155" t="str">
        <f>IF(R618="-","",INDEX('Inventaire M-1'!$A$2:$AG$9334,MATCH(R618,'Inventaire M-1'!$A:$A,0)-1,MATCH("poids",'Inventaire M-1'!#REF!,0)))</f>
        <v/>
      </c>
      <c r="AB618" s="155" t="str">
        <f>IF(R618="-","",IF(ISERROR(INDEX('Inventaire M'!$A$2:$AD$9319,MATCH(R618,'Inventaire M'!$A:$A,0)-1,MATCH("poids",'Inventaire M'!#REF!,0))),"Sell",INDEX('Inventaire M'!$A$2:$AD$9319,MATCH(R618,'Inventaire M'!$A:$A,0)-1,MATCH("poids",'Inventaire M'!#REF!,0))))</f>
        <v/>
      </c>
      <c r="AC618" s="175"/>
      <c r="AD618" s="157" t="str">
        <f t="shared" si="69"/>
        <v>0</v>
      </c>
      <c r="AE618" s="98" t="str">
        <f t="shared" si="70"/>
        <v/>
      </c>
      <c r="AF618" s="80" t="str">
        <f t="shared" si="71"/>
        <v>-</v>
      </c>
    </row>
    <row r="619" spans="2:32" outlineLevel="1">
      <c r="B619" s="175" t="str">
        <f>IF(OR('Inventaire M'!D392="Dispo/Liquidité Investie",'Inventaire M'!D392="Option/Future",'Inventaire M'!D392="TCN",'Inventaire M'!D392=""),"-",'Inventaire M'!A392)</f>
        <v>-</v>
      </c>
      <c r="C619" s="175" t="str">
        <f>IF(OR('Inventaire M'!D392="Dispo/Liquidité Investie",'Inventaire M'!D392="Option/Future",'Inventaire M'!D392="TCN",'Inventaire M'!D392=""),"-",'Inventaire M'!B392)</f>
        <v>-</v>
      </c>
      <c r="D619" s="175"/>
      <c r="E619" s="175" t="str">
        <f>IF(B619="-","",INDEX('Inventaire M'!$A$2:$AW$9305,MATCH(B619,'Inventaire M'!$A:$A,0)-1,MATCH("Cours EUR",'Inventaire M'!#REF!,0)))</f>
        <v/>
      </c>
      <c r="F619" s="175" t="str">
        <f>IF(B619="-","",IF(ISERROR(INDEX('Inventaire M-1'!$A$2:$AZ$9320,MATCH(B619,'Inventaire M-1'!$A:$A,0)-1,MATCH("Cours EUR",'Inventaire M-1'!#REF!,0))),"Buy",INDEX('Inventaire M-1'!$A$2:$AZ$9320,MATCH(B619,'Inventaire M-1'!$A:$A,0)-1,MATCH("Cours EUR",'Inventaire M-1'!#REF!,0))))</f>
        <v/>
      </c>
      <c r="G619" s="175"/>
      <c r="H619" s="156" t="str">
        <f>IF(B619="-","",INDEX('Inventaire M'!$A$2:$AW$9305,MATCH(B619,'Inventaire M'!$A:$A,0)-1,MATCH("quantite",'Inventaire M'!#REF!,0)))</f>
        <v/>
      </c>
      <c r="I619" s="156" t="str">
        <f>IF(C619="-","",IF(ISERROR(INDEX('Inventaire M-1'!$A$2:$AZ$9320,MATCH(B619,'Inventaire M-1'!$A:$A,0)-1,MATCH("quantite",'Inventaire M-1'!#REF!,0))),"Buy",INDEX('Inventaire M-1'!$A$2:$AZ$9320,MATCH(B619,'Inventaire M-1'!$A:$A,0)-1,MATCH("quantite",'Inventaire M-1'!#REF!,0))))</f>
        <v/>
      </c>
      <c r="J619" s="175"/>
      <c r="K619" s="155" t="str">
        <f>IF(B619="-","",INDEX('Inventaire M'!$A$2:$AW$9305,MATCH(B619,'Inventaire M'!$A:$A,0)-1,MATCH("poids",'Inventaire M'!#REF!,0)))</f>
        <v/>
      </c>
      <c r="L619" s="155" t="str">
        <f>IF(B619="-","",IF(ISERROR(INDEX('Inventaire M-1'!$A$2:$AZ$9320,MATCH(B619,'Inventaire M-1'!$A:$A,0)-1,MATCH("poids",'Inventaire M-1'!#REF!,0))),"Buy",INDEX('Inventaire M-1'!$A$2:$AZ$9320,MATCH(B619,'Inventaire M-1'!$A:$A,0)-1,MATCH("poids",'Inventaire M-1'!#REF!,0))))</f>
        <v/>
      </c>
      <c r="M619" s="175"/>
      <c r="N619" s="157" t="str">
        <f t="shared" si="67"/>
        <v>0</v>
      </c>
      <c r="O619" s="98" t="str">
        <f t="shared" si="66"/>
        <v/>
      </c>
      <c r="P619" s="80" t="str">
        <f t="shared" si="68"/>
        <v>-</v>
      </c>
      <c r="Q619" s="75">
        <v>5.9499999999999997E-8</v>
      </c>
      <c r="R619" s="175" t="str">
        <f>IF(OR('Inventaire M-1'!D371="Dispo/Liquidité Investie",'Inventaire M-1'!D371="Option/Future",'Inventaire M-1'!D371="TCN",'Inventaire M-1'!D371=""),"-",'Inventaire M-1'!A371)</f>
        <v>-</v>
      </c>
      <c r="S619" s="175" t="str">
        <f>IF(OR('Inventaire M-1'!D371="Dispo/Liquidité Investie",'Inventaire M-1'!D371="Option/Future",'Inventaire M-1'!D371="TCN",'Inventaire M-1'!D371=""),"-",'Inventaire M-1'!B371)</f>
        <v>-</v>
      </c>
      <c r="T619" s="175"/>
      <c r="U619" s="175" t="str">
        <f>IF(R619="-","",INDEX('Inventaire M-1'!$A$2:$AG$9334,MATCH(R619,'Inventaire M-1'!$A:$A,0)-1,MATCH("Cours EUR",'Inventaire M-1'!#REF!,0)))</f>
        <v/>
      </c>
      <c r="V619" s="175" t="str">
        <f>IF(R619="-","",IF(ISERROR(INDEX('Inventaire M'!$A$2:$AD$9319,MATCH(R619,'Inventaire M'!$A:$A,0)-1,MATCH("Cours EUR",'Inventaire M'!#REF!,0))),"Sell",INDEX('Inventaire M'!$A$2:$AD$9319,MATCH(R619,'Inventaire M'!$A:$A,0)-1,MATCH("Cours EUR",'Inventaire M'!#REF!,0))))</f>
        <v/>
      </c>
      <c r="W619" s="175"/>
      <c r="X619" s="156" t="str">
        <f>IF(R619="-","",INDEX('Inventaire M-1'!$A$2:$AG$9334,MATCH(R619,'Inventaire M-1'!$A:$A,0)-1,MATCH("quantite",'Inventaire M-1'!#REF!,0)))</f>
        <v/>
      </c>
      <c r="Y619" s="156" t="str">
        <f>IF(S619="-","",IF(ISERROR(INDEX('Inventaire M'!$A$2:$AD$9319,MATCH(R619,'Inventaire M'!$A:$A,0)-1,MATCH("quantite",'Inventaire M'!#REF!,0))),"Sell",INDEX('Inventaire M'!$A$2:$AD$9319,MATCH(R619,'Inventaire M'!$A:$A,0)-1,MATCH("quantite",'Inventaire M'!#REF!,0))))</f>
        <v/>
      </c>
      <c r="Z619" s="175"/>
      <c r="AA619" s="155" t="str">
        <f>IF(R619="-","",INDEX('Inventaire M-1'!$A$2:$AG$9334,MATCH(R619,'Inventaire M-1'!$A:$A,0)-1,MATCH("poids",'Inventaire M-1'!#REF!,0)))</f>
        <v/>
      </c>
      <c r="AB619" s="155" t="str">
        <f>IF(R619="-","",IF(ISERROR(INDEX('Inventaire M'!$A$2:$AD$9319,MATCH(R619,'Inventaire M'!$A:$A,0)-1,MATCH("poids",'Inventaire M'!#REF!,0))),"Sell",INDEX('Inventaire M'!$A$2:$AD$9319,MATCH(R619,'Inventaire M'!$A:$A,0)-1,MATCH("poids",'Inventaire M'!#REF!,0))))</f>
        <v/>
      </c>
      <c r="AC619" s="175"/>
      <c r="AD619" s="157" t="str">
        <f t="shared" si="69"/>
        <v>0</v>
      </c>
      <c r="AE619" s="98" t="str">
        <f t="shared" si="70"/>
        <v/>
      </c>
      <c r="AF619" s="80" t="str">
        <f t="shared" si="71"/>
        <v>-</v>
      </c>
    </row>
    <row r="620" spans="2:32" outlineLevel="1">
      <c r="B620" s="175" t="str">
        <f>IF(OR('Inventaire M'!D393="Dispo/Liquidité Investie",'Inventaire M'!D393="Option/Future",'Inventaire M'!D393="TCN",'Inventaire M'!D393=""),"-",'Inventaire M'!A393)</f>
        <v>-</v>
      </c>
      <c r="C620" s="175" t="str">
        <f>IF(OR('Inventaire M'!D393="Dispo/Liquidité Investie",'Inventaire M'!D393="Option/Future",'Inventaire M'!D393="TCN",'Inventaire M'!D393=""),"-",'Inventaire M'!B393)</f>
        <v>-</v>
      </c>
      <c r="D620" s="175"/>
      <c r="E620" s="175" t="str">
        <f>IF(B620="-","",INDEX('Inventaire M'!$A$2:$AW$9305,MATCH(B620,'Inventaire M'!$A:$A,0)-1,MATCH("Cours EUR",'Inventaire M'!#REF!,0)))</f>
        <v/>
      </c>
      <c r="F620" s="175" t="str">
        <f>IF(B620="-","",IF(ISERROR(INDEX('Inventaire M-1'!$A$2:$AZ$9320,MATCH(B620,'Inventaire M-1'!$A:$A,0)-1,MATCH("Cours EUR",'Inventaire M-1'!#REF!,0))),"Buy",INDEX('Inventaire M-1'!$A$2:$AZ$9320,MATCH(B620,'Inventaire M-1'!$A:$A,0)-1,MATCH("Cours EUR",'Inventaire M-1'!#REF!,0))))</f>
        <v/>
      </c>
      <c r="G620" s="175"/>
      <c r="H620" s="156" t="str">
        <f>IF(B620="-","",INDEX('Inventaire M'!$A$2:$AW$9305,MATCH(B620,'Inventaire M'!$A:$A,0)-1,MATCH("quantite",'Inventaire M'!#REF!,0)))</f>
        <v/>
      </c>
      <c r="I620" s="156" t="str">
        <f>IF(C620="-","",IF(ISERROR(INDEX('Inventaire M-1'!$A$2:$AZ$9320,MATCH(B620,'Inventaire M-1'!$A:$A,0)-1,MATCH("quantite",'Inventaire M-1'!#REF!,0))),"Buy",INDEX('Inventaire M-1'!$A$2:$AZ$9320,MATCH(B620,'Inventaire M-1'!$A:$A,0)-1,MATCH("quantite",'Inventaire M-1'!#REF!,0))))</f>
        <v/>
      </c>
      <c r="J620" s="175"/>
      <c r="K620" s="155" t="str">
        <f>IF(B620="-","",INDEX('Inventaire M'!$A$2:$AW$9305,MATCH(B620,'Inventaire M'!$A:$A,0)-1,MATCH("poids",'Inventaire M'!#REF!,0)))</f>
        <v/>
      </c>
      <c r="L620" s="155" t="str">
        <f>IF(B620="-","",IF(ISERROR(INDEX('Inventaire M-1'!$A$2:$AZ$9320,MATCH(B620,'Inventaire M-1'!$A:$A,0)-1,MATCH("poids",'Inventaire M-1'!#REF!,0))),"Buy",INDEX('Inventaire M-1'!$A$2:$AZ$9320,MATCH(B620,'Inventaire M-1'!$A:$A,0)-1,MATCH("poids",'Inventaire M-1'!#REF!,0))))</f>
        <v/>
      </c>
      <c r="M620" s="175"/>
      <c r="N620" s="157" t="str">
        <f t="shared" si="67"/>
        <v>0</v>
      </c>
      <c r="O620" s="98" t="str">
        <f t="shared" si="66"/>
        <v/>
      </c>
      <c r="P620" s="80" t="str">
        <f t="shared" si="68"/>
        <v>-</v>
      </c>
      <c r="Q620" s="75">
        <v>5.9599999999999998E-8</v>
      </c>
      <c r="R620" s="175" t="str">
        <f>IF(OR('Inventaire M-1'!D372="Dispo/Liquidité Investie",'Inventaire M-1'!D372="Option/Future",'Inventaire M-1'!D372="TCN",'Inventaire M-1'!D372=""),"-",'Inventaire M-1'!A372)</f>
        <v>-</v>
      </c>
      <c r="S620" s="175" t="str">
        <f>IF(OR('Inventaire M-1'!D372="Dispo/Liquidité Investie",'Inventaire M-1'!D372="Option/Future",'Inventaire M-1'!D372="TCN",'Inventaire M-1'!D372=""),"-",'Inventaire M-1'!B372)</f>
        <v>-</v>
      </c>
      <c r="T620" s="175"/>
      <c r="U620" s="175" t="str">
        <f>IF(R620="-","",INDEX('Inventaire M-1'!$A$2:$AG$9334,MATCH(R620,'Inventaire M-1'!$A:$A,0)-1,MATCH("Cours EUR",'Inventaire M-1'!#REF!,0)))</f>
        <v/>
      </c>
      <c r="V620" s="175" t="str">
        <f>IF(R620="-","",IF(ISERROR(INDEX('Inventaire M'!$A$2:$AD$9319,MATCH(R620,'Inventaire M'!$A:$A,0)-1,MATCH("Cours EUR",'Inventaire M'!#REF!,0))),"Sell",INDEX('Inventaire M'!$A$2:$AD$9319,MATCH(R620,'Inventaire M'!$A:$A,0)-1,MATCH("Cours EUR",'Inventaire M'!#REF!,0))))</f>
        <v/>
      </c>
      <c r="W620" s="175"/>
      <c r="X620" s="156" t="str">
        <f>IF(R620="-","",INDEX('Inventaire M-1'!$A$2:$AG$9334,MATCH(R620,'Inventaire M-1'!$A:$A,0)-1,MATCH("quantite",'Inventaire M-1'!#REF!,0)))</f>
        <v/>
      </c>
      <c r="Y620" s="156" t="str">
        <f>IF(S620="-","",IF(ISERROR(INDEX('Inventaire M'!$A$2:$AD$9319,MATCH(R620,'Inventaire M'!$A:$A,0)-1,MATCH("quantite",'Inventaire M'!#REF!,0))),"Sell",INDEX('Inventaire M'!$A$2:$AD$9319,MATCH(R620,'Inventaire M'!$A:$A,0)-1,MATCH("quantite",'Inventaire M'!#REF!,0))))</f>
        <v/>
      </c>
      <c r="Z620" s="175"/>
      <c r="AA620" s="155" t="str">
        <f>IF(R620="-","",INDEX('Inventaire M-1'!$A$2:$AG$9334,MATCH(R620,'Inventaire M-1'!$A:$A,0)-1,MATCH("poids",'Inventaire M-1'!#REF!,0)))</f>
        <v/>
      </c>
      <c r="AB620" s="155" t="str">
        <f>IF(R620="-","",IF(ISERROR(INDEX('Inventaire M'!$A$2:$AD$9319,MATCH(R620,'Inventaire M'!$A:$A,0)-1,MATCH("poids",'Inventaire M'!#REF!,0))),"Sell",INDEX('Inventaire M'!$A$2:$AD$9319,MATCH(R620,'Inventaire M'!$A:$A,0)-1,MATCH("poids",'Inventaire M'!#REF!,0))))</f>
        <v/>
      </c>
      <c r="AC620" s="175"/>
      <c r="AD620" s="157" t="str">
        <f t="shared" si="69"/>
        <v>0</v>
      </c>
      <c r="AE620" s="98" t="str">
        <f t="shared" si="70"/>
        <v/>
      </c>
      <c r="AF620" s="80" t="str">
        <f t="shared" si="71"/>
        <v>-</v>
      </c>
    </row>
    <row r="621" spans="2:32" outlineLevel="1">
      <c r="B621" s="175" t="str">
        <f>IF(OR('Inventaire M'!D394="Dispo/Liquidité Investie",'Inventaire M'!D394="Option/Future",'Inventaire M'!D394="TCN",'Inventaire M'!D394=""),"-",'Inventaire M'!A394)</f>
        <v>-</v>
      </c>
      <c r="C621" s="175" t="str">
        <f>IF(OR('Inventaire M'!D394="Dispo/Liquidité Investie",'Inventaire M'!D394="Option/Future",'Inventaire M'!D394="TCN",'Inventaire M'!D394=""),"-",'Inventaire M'!B394)</f>
        <v>-</v>
      </c>
      <c r="D621" s="175"/>
      <c r="E621" s="175" t="str">
        <f>IF(B621="-","",INDEX('Inventaire M'!$A$2:$AW$9305,MATCH(B621,'Inventaire M'!$A:$A,0)-1,MATCH("Cours EUR",'Inventaire M'!#REF!,0)))</f>
        <v/>
      </c>
      <c r="F621" s="175" t="str">
        <f>IF(B621="-","",IF(ISERROR(INDEX('Inventaire M-1'!$A$2:$AZ$9320,MATCH(B621,'Inventaire M-1'!$A:$A,0)-1,MATCH("Cours EUR",'Inventaire M-1'!#REF!,0))),"Buy",INDEX('Inventaire M-1'!$A$2:$AZ$9320,MATCH(B621,'Inventaire M-1'!$A:$A,0)-1,MATCH("Cours EUR",'Inventaire M-1'!#REF!,0))))</f>
        <v/>
      </c>
      <c r="G621" s="175"/>
      <c r="H621" s="156" t="str">
        <f>IF(B621="-","",INDEX('Inventaire M'!$A$2:$AW$9305,MATCH(B621,'Inventaire M'!$A:$A,0)-1,MATCH("quantite",'Inventaire M'!#REF!,0)))</f>
        <v/>
      </c>
      <c r="I621" s="156" t="str">
        <f>IF(C621="-","",IF(ISERROR(INDEX('Inventaire M-1'!$A$2:$AZ$9320,MATCH(B621,'Inventaire M-1'!$A:$A,0)-1,MATCH("quantite",'Inventaire M-1'!#REF!,0))),"Buy",INDEX('Inventaire M-1'!$A$2:$AZ$9320,MATCH(B621,'Inventaire M-1'!$A:$A,0)-1,MATCH("quantite",'Inventaire M-1'!#REF!,0))))</f>
        <v/>
      </c>
      <c r="J621" s="175"/>
      <c r="K621" s="155" t="str">
        <f>IF(B621="-","",INDEX('Inventaire M'!$A$2:$AW$9305,MATCH(B621,'Inventaire M'!$A:$A,0)-1,MATCH("poids",'Inventaire M'!#REF!,0)))</f>
        <v/>
      </c>
      <c r="L621" s="155" t="str">
        <f>IF(B621="-","",IF(ISERROR(INDEX('Inventaire M-1'!$A$2:$AZ$9320,MATCH(B621,'Inventaire M-1'!$A:$A,0)-1,MATCH("poids",'Inventaire M-1'!#REF!,0))),"Buy",INDEX('Inventaire M-1'!$A$2:$AZ$9320,MATCH(B621,'Inventaire M-1'!$A:$A,0)-1,MATCH("poids",'Inventaire M-1'!#REF!,0))))</f>
        <v/>
      </c>
      <c r="M621" s="175"/>
      <c r="N621" s="157" t="str">
        <f t="shared" si="67"/>
        <v>0</v>
      </c>
      <c r="O621" s="98" t="str">
        <f t="shared" si="66"/>
        <v/>
      </c>
      <c r="P621" s="80" t="str">
        <f t="shared" si="68"/>
        <v>-</v>
      </c>
      <c r="Q621" s="75">
        <v>5.9699999999999999E-8</v>
      </c>
      <c r="R621" s="175" t="str">
        <f>IF(OR('Inventaire M-1'!D373="Dispo/Liquidité Investie",'Inventaire M-1'!D373="Option/Future",'Inventaire M-1'!D373="TCN",'Inventaire M-1'!D373=""),"-",'Inventaire M-1'!A373)</f>
        <v>-</v>
      </c>
      <c r="S621" s="175" t="str">
        <f>IF(OR('Inventaire M-1'!D373="Dispo/Liquidité Investie",'Inventaire M-1'!D373="Option/Future",'Inventaire M-1'!D373="TCN",'Inventaire M-1'!D373=""),"-",'Inventaire M-1'!B373)</f>
        <v>-</v>
      </c>
      <c r="T621" s="175"/>
      <c r="U621" s="175" t="str">
        <f>IF(R621="-","",INDEX('Inventaire M-1'!$A$2:$AG$9334,MATCH(R621,'Inventaire M-1'!$A:$A,0)-1,MATCH("Cours EUR",'Inventaire M-1'!#REF!,0)))</f>
        <v/>
      </c>
      <c r="V621" s="175" t="str">
        <f>IF(R621="-","",IF(ISERROR(INDEX('Inventaire M'!$A$2:$AD$9319,MATCH(R621,'Inventaire M'!$A:$A,0)-1,MATCH("Cours EUR",'Inventaire M'!#REF!,0))),"Sell",INDEX('Inventaire M'!$A$2:$AD$9319,MATCH(R621,'Inventaire M'!$A:$A,0)-1,MATCH("Cours EUR",'Inventaire M'!#REF!,0))))</f>
        <v/>
      </c>
      <c r="W621" s="175"/>
      <c r="X621" s="156" t="str">
        <f>IF(R621="-","",INDEX('Inventaire M-1'!$A$2:$AG$9334,MATCH(R621,'Inventaire M-1'!$A:$A,0)-1,MATCH("quantite",'Inventaire M-1'!#REF!,0)))</f>
        <v/>
      </c>
      <c r="Y621" s="156" t="str">
        <f>IF(S621="-","",IF(ISERROR(INDEX('Inventaire M'!$A$2:$AD$9319,MATCH(R621,'Inventaire M'!$A:$A,0)-1,MATCH("quantite",'Inventaire M'!#REF!,0))),"Sell",INDEX('Inventaire M'!$A$2:$AD$9319,MATCH(R621,'Inventaire M'!$A:$A,0)-1,MATCH("quantite",'Inventaire M'!#REF!,0))))</f>
        <v/>
      </c>
      <c r="Z621" s="175"/>
      <c r="AA621" s="155" t="str">
        <f>IF(R621="-","",INDEX('Inventaire M-1'!$A$2:$AG$9334,MATCH(R621,'Inventaire M-1'!$A:$A,0)-1,MATCH("poids",'Inventaire M-1'!#REF!,0)))</f>
        <v/>
      </c>
      <c r="AB621" s="155" t="str">
        <f>IF(R621="-","",IF(ISERROR(INDEX('Inventaire M'!$A$2:$AD$9319,MATCH(R621,'Inventaire M'!$A:$A,0)-1,MATCH("poids",'Inventaire M'!#REF!,0))),"Sell",INDEX('Inventaire M'!$A$2:$AD$9319,MATCH(R621,'Inventaire M'!$A:$A,0)-1,MATCH("poids",'Inventaire M'!#REF!,0))))</f>
        <v/>
      </c>
      <c r="AC621" s="175"/>
      <c r="AD621" s="157" t="str">
        <f t="shared" si="69"/>
        <v>0</v>
      </c>
      <c r="AE621" s="98" t="str">
        <f t="shared" si="70"/>
        <v/>
      </c>
      <c r="AF621" s="80" t="str">
        <f t="shared" si="71"/>
        <v>-</v>
      </c>
    </row>
    <row r="622" spans="2:32" outlineLevel="1">
      <c r="B622" s="175" t="str">
        <f>IF(OR('Inventaire M'!D395="Dispo/Liquidité Investie",'Inventaire M'!D395="Option/Future",'Inventaire M'!D395="TCN",'Inventaire M'!D395=""),"-",'Inventaire M'!A395)</f>
        <v>-</v>
      </c>
      <c r="C622" s="175" t="str">
        <f>IF(OR('Inventaire M'!D395="Dispo/Liquidité Investie",'Inventaire M'!D395="Option/Future",'Inventaire M'!D395="TCN",'Inventaire M'!D395=""),"-",'Inventaire M'!B395)</f>
        <v>-</v>
      </c>
      <c r="D622" s="175"/>
      <c r="E622" s="175" t="str">
        <f>IF(B622="-","",INDEX('Inventaire M'!$A$2:$AW$9305,MATCH(B622,'Inventaire M'!$A:$A,0)-1,MATCH("Cours EUR",'Inventaire M'!#REF!,0)))</f>
        <v/>
      </c>
      <c r="F622" s="175" t="str">
        <f>IF(B622="-","",IF(ISERROR(INDEX('Inventaire M-1'!$A$2:$AZ$9320,MATCH(B622,'Inventaire M-1'!$A:$A,0)-1,MATCH("Cours EUR",'Inventaire M-1'!#REF!,0))),"Buy",INDEX('Inventaire M-1'!$A$2:$AZ$9320,MATCH(B622,'Inventaire M-1'!$A:$A,0)-1,MATCH("Cours EUR",'Inventaire M-1'!#REF!,0))))</f>
        <v/>
      </c>
      <c r="G622" s="175"/>
      <c r="H622" s="156" t="str">
        <f>IF(B622="-","",INDEX('Inventaire M'!$A$2:$AW$9305,MATCH(B622,'Inventaire M'!$A:$A,0)-1,MATCH("quantite",'Inventaire M'!#REF!,0)))</f>
        <v/>
      </c>
      <c r="I622" s="156" t="str">
        <f>IF(C622="-","",IF(ISERROR(INDEX('Inventaire M-1'!$A$2:$AZ$9320,MATCH(B622,'Inventaire M-1'!$A:$A,0)-1,MATCH("quantite",'Inventaire M-1'!#REF!,0))),"Buy",INDEX('Inventaire M-1'!$A$2:$AZ$9320,MATCH(B622,'Inventaire M-1'!$A:$A,0)-1,MATCH("quantite",'Inventaire M-1'!#REF!,0))))</f>
        <v/>
      </c>
      <c r="J622" s="175"/>
      <c r="K622" s="155" t="str">
        <f>IF(B622="-","",INDEX('Inventaire M'!$A$2:$AW$9305,MATCH(B622,'Inventaire M'!$A:$A,0)-1,MATCH("poids",'Inventaire M'!#REF!,0)))</f>
        <v/>
      </c>
      <c r="L622" s="155" t="str">
        <f>IF(B622="-","",IF(ISERROR(INDEX('Inventaire M-1'!$A$2:$AZ$9320,MATCH(B622,'Inventaire M-1'!$A:$A,0)-1,MATCH("poids",'Inventaire M-1'!#REF!,0))),"Buy",INDEX('Inventaire M-1'!$A$2:$AZ$9320,MATCH(B622,'Inventaire M-1'!$A:$A,0)-1,MATCH("poids",'Inventaire M-1'!#REF!,0))))</f>
        <v/>
      </c>
      <c r="M622" s="175"/>
      <c r="N622" s="157" t="str">
        <f t="shared" si="67"/>
        <v>0</v>
      </c>
      <c r="O622" s="98" t="str">
        <f t="shared" si="66"/>
        <v/>
      </c>
      <c r="P622" s="80" t="str">
        <f t="shared" si="68"/>
        <v>-</v>
      </c>
      <c r="Q622" s="75">
        <v>5.9800000000000006E-8</v>
      </c>
      <c r="R622" s="175" t="str">
        <f>IF(OR('Inventaire M-1'!D374="Dispo/Liquidité Investie",'Inventaire M-1'!D374="Option/Future",'Inventaire M-1'!D374="TCN",'Inventaire M-1'!D374=""),"-",'Inventaire M-1'!A374)</f>
        <v>-</v>
      </c>
      <c r="S622" s="175" t="str">
        <f>IF(OR('Inventaire M-1'!D374="Dispo/Liquidité Investie",'Inventaire M-1'!D374="Option/Future",'Inventaire M-1'!D374="TCN",'Inventaire M-1'!D374=""),"-",'Inventaire M-1'!B374)</f>
        <v>-</v>
      </c>
      <c r="T622" s="175"/>
      <c r="U622" s="175" t="str">
        <f>IF(R622="-","",INDEX('Inventaire M-1'!$A$2:$AG$9334,MATCH(R622,'Inventaire M-1'!$A:$A,0)-1,MATCH("Cours EUR",'Inventaire M-1'!#REF!,0)))</f>
        <v/>
      </c>
      <c r="V622" s="175" t="str">
        <f>IF(R622="-","",IF(ISERROR(INDEX('Inventaire M'!$A$2:$AD$9319,MATCH(R622,'Inventaire M'!$A:$A,0)-1,MATCH("Cours EUR",'Inventaire M'!#REF!,0))),"Sell",INDEX('Inventaire M'!$A$2:$AD$9319,MATCH(R622,'Inventaire M'!$A:$A,0)-1,MATCH("Cours EUR",'Inventaire M'!#REF!,0))))</f>
        <v/>
      </c>
      <c r="W622" s="175"/>
      <c r="X622" s="156" t="str">
        <f>IF(R622="-","",INDEX('Inventaire M-1'!$A$2:$AG$9334,MATCH(R622,'Inventaire M-1'!$A:$A,0)-1,MATCH("quantite",'Inventaire M-1'!#REF!,0)))</f>
        <v/>
      </c>
      <c r="Y622" s="156" t="str">
        <f>IF(S622="-","",IF(ISERROR(INDEX('Inventaire M'!$A$2:$AD$9319,MATCH(R622,'Inventaire M'!$A:$A,0)-1,MATCH("quantite",'Inventaire M'!#REF!,0))),"Sell",INDEX('Inventaire M'!$A$2:$AD$9319,MATCH(R622,'Inventaire M'!$A:$A,0)-1,MATCH("quantite",'Inventaire M'!#REF!,0))))</f>
        <v/>
      </c>
      <c r="Z622" s="175"/>
      <c r="AA622" s="155" t="str">
        <f>IF(R622="-","",INDEX('Inventaire M-1'!$A$2:$AG$9334,MATCH(R622,'Inventaire M-1'!$A:$A,0)-1,MATCH("poids",'Inventaire M-1'!#REF!,0)))</f>
        <v/>
      </c>
      <c r="AB622" s="155" t="str">
        <f>IF(R622="-","",IF(ISERROR(INDEX('Inventaire M'!$A$2:$AD$9319,MATCH(R622,'Inventaire M'!$A:$A,0)-1,MATCH("poids",'Inventaire M'!#REF!,0))),"Sell",INDEX('Inventaire M'!$A$2:$AD$9319,MATCH(R622,'Inventaire M'!$A:$A,0)-1,MATCH("poids",'Inventaire M'!#REF!,0))))</f>
        <v/>
      </c>
      <c r="AC622" s="175"/>
      <c r="AD622" s="157" t="str">
        <f t="shared" si="69"/>
        <v>0</v>
      </c>
      <c r="AE622" s="98" t="str">
        <f t="shared" si="70"/>
        <v/>
      </c>
      <c r="AF622" s="80" t="str">
        <f t="shared" si="71"/>
        <v>-</v>
      </c>
    </row>
    <row r="623" spans="2:32" outlineLevel="1">
      <c r="B623" s="175" t="str">
        <f>IF(OR('Inventaire M'!D396="Dispo/Liquidité Investie",'Inventaire M'!D396="Option/Future",'Inventaire M'!D396="TCN",'Inventaire M'!D396=""),"-",'Inventaire M'!A396)</f>
        <v>-</v>
      </c>
      <c r="C623" s="175" t="str">
        <f>IF(OR('Inventaire M'!D396="Dispo/Liquidité Investie",'Inventaire M'!D396="Option/Future",'Inventaire M'!D396="TCN",'Inventaire M'!D396=""),"-",'Inventaire M'!B396)</f>
        <v>-</v>
      </c>
      <c r="D623" s="175"/>
      <c r="E623" s="175" t="str">
        <f>IF(B623="-","",INDEX('Inventaire M'!$A$2:$AW$9305,MATCH(B623,'Inventaire M'!$A:$A,0)-1,MATCH("Cours EUR",'Inventaire M'!#REF!,0)))</f>
        <v/>
      </c>
      <c r="F623" s="175" t="str">
        <f>IF(B623="-","",IF(ISERROR(INDEX('Inventaire M-1'!$A$2:$AZ$9320,MATCH(B623,'Inventaire M-1'!$A:$A,0)-1,MATCH("Cours EUR",'Inventaire M-1'!#REF!,0))),"Buy",INDEX('Inventaire M-1'!$A$2:$AZ$9320,MATCH(B623,'Inventaire M-1'!$A:$A,0)-1,MATCH("Cours EUR",'Inventaire M-1'!#REF!,0))))</f>
        <v/>
      </c>
      <c r="G623" s="175"/>
      <c r="H623" s="156" t="str">
        <f>IF(B623="-","",INDEX('Inventaire M'!$A$2:$AW$9305,MATCH(B623,'Inventaire M'!$A:$A,0)-1,MATCH("quantite",'Inventaire M'!#REF!,0)))</f>
        <v/>
      </c>
      <c r="I623" s="156" t="str">
        <f>IF(C623="-","",IF(ISERROR(INDEX('Inventaire M-1'!$A$2:$AZ$9320,MATCH(B623,'Inventaire M-1'!$A:$A,0)-1,MATCH("quantite",'Inventaire M-1'!#REF!,0))),"Buy",INDEX('Inventaire M-1'!$A$2:$AZ$9320,MATCH(B623,'Inventaire M-1'!$A:$A,0)-1,MATCH("quantite",'Inventaire M-1'!#REF!,0))))</f>
        <v/>
      </c>
      <c r="J623" s="175"/>
      <c r="K623" s="155" t="str">
        <f>IF(B623="-","",INDEX('Inventaire M'!$A$2:$AW$9305,MATCH(B623,'Inventaire M'!$A:$A,0)-1,MATCH("poids",'Inventaire M'!#REF!,0)))</f>
        <v/>
      </c>
      <c r="L623" s="155" t="str">
        <f>IF(B623="-","",IF(ISERROR(INDEX('Inventaire M-1'!$A$2:$AZ$9320,MATCH(B623,'Inventaire M-1'!$A:$A,0)-1,MATCH("poids",'Inventaire M-1'!#REF!,0))),"Buy",INDEX('Inventaire M-1'!$A$2:$AZ$9320,MATCH(B623,'Inventaire M-1'!$A:$A,0)-1,MATCH("poids",'Inventaire M-1'!#REF!,0))))</f>
        <v/>
      </c>
      <c r="M623" s="175"/>
      <c r="N623" s="157" t="str">
        <f t="shared" si="67"/>
        <v>0</v>
      </c>
      <c r="O623" s="98" t="str">
        <f t="shared" si="66"/>
        <v/>
      </c>
      <c r="P623" s="80" t="str">
        <f t="shared" si="68"/>
        <v>-</v>
      </c>
      <c r="Q623" s="75">
        <v>5.99E-8</v>
      </c>
      <c r="R623" s="175" t="str">
        <f>IF(OR('Inventaire M-1'!D375="Dispo/Liquidité Investie",'Inventaire M-1'!D375="Option/Future",'Inventaire M-1'!D375="TCN",'Inventaire M-1'!D375=""),"-",'Inventaire M-1'!A375)</f>
        <v>-</v>
      </c>
      <c r="S623" s="175" t="str">
        <f>IF(OR('Inventaire M-1'!D375="Dispo/Liquidité Investie",'Inventaire M-1'!D375="Option/Future",'Inventaire M-1'!D375="TCN",'Inventaire M-1'!D375=""),"-",'Inventaire M-1'!B375)</f>
        <v>-</v>
      </c>
      <c r="T623" s="175"/>
      <c r="U623" s="175" t="str">
        <f>IF(R623="-","",INDEX('Inventaire M-1'!$A$2:$AG$9334,MATCH(R623,'Inventaire M-1'!$A:$A,0)-1,MATCH("Cours EUR",'Inventaire M-1'!#REF!,0)))</f>
        <v/>
      </c>
      <c r="V623" s="175" t="str">
        <f>IF(R623="-","",IF(ISERROR(INDEX('Inventaire M'!$A$2:$AD$9319,MATCH(R623,'Inventaire M'!$A:$A,0)-1,MATCH("Cours EUR",'Inventaire M'!#REF!,0))),"Sell",INDEX('Inventaire M'!$A$2:$AD$9319,MATCH(R623,'Inventaire M'!$A:$A,0)-1,MATCH("Cours EUR",'Inventaire M'!#REF!,0))))</f>
        <v/>
      </c>
      <c r="W623" s="175"/>
      <c r="X623" s="156" t="str">
        <f>IF(R623="-","",INDEX('Inventaire M-1'!$A$2:$AG$9334,MATCH(R623,'Inventaire M-1'!$A:$A,0)-1,MATCH("quantite",'Inventaire M-1'!#REF!,0)))</f>
        <v/>
      </c>
      <c r="Y623" s="156" t="str">
        <f>IF(S623="-","",IF(ISERROR(INDEX('Inventaire M'!$A$2:$AD$9319,MATCH(R623,'Inventaire M'!$A:$A,0)-1,MATCH("quantite",'Inventaire M'!#REF!,0))),"Sell",INDEX('Inventaire M'!$A$2:$AD$9319,MATCH(R623,'Inventaire M'!$A:$A,0)-1,MATCH("quantite",'Inventaire M'!#REF!,0))))</f>
        <v/>
      </c>
      <c r="Z623" s="175"/>
      <c r="AA623" s="155" t="str">
        <f>IF(R623="-","",INDEX('Inventaire M-1'!$A$2:$AG$9334,MATCH(R623,'Inventaire M-1'!$A:$A,0)-1,MATCH("poids",'Inventaire M-1'!#REF!,0)))</f>
        <v/>
      </c>
      <c r="AB623" s="155" t="str">
        <f>IF(R623="-","",IF(ISERROR(INDEX('Inventaire M'!$A$2:$AD$9319,MATCH(R623,'Inventaire M'!$A:$A,0)-1,MATCH("poids",'Inventaire M'!#REF!,0))),"Sell",INDEX('Inventaire M'!$A$2:$AD$9319,MATCH(R623,'Inventaire M'!$A:$A,0)-1,MATCH("poids",'Inventaire M'!#REF!,0))))</f>
        <v/>
      </c>
      <c r="AC623" s="175"/>
      <c r="AD623" s="157" t="str">
        <f t="shared" si="69"/>
        <v>0</v>
      </c>
      <c r="AE623" s="98" t="str">
        <f t="shared" si="70"/>
        <v/>
      </c>
      <c r="AF623" s="80" t="str">
        <f t="shared" si="71"/>
        <v>-</v>
      </c>
    </row>
    <row r="624" spans="2:32" outlineLevel="1">
      <c r="B624" s="175" t="str">
        <f>IF(OR('Inventaire M'!D397="Dispo/Liquidité Investie",'Inventaire M'!D397="Option/Future",'Inventaire M'!D397="TCN",'Inventaire M'!D397=""),"-",'Inventaire M'!A397)</f>
        <v>-</v>
      </c>
      <c r="C624" s="175" t="str">
        <f>IF(OR('Inventaire M'!D397="Dispo/Liquidité Investie",'Inventaire M'!D397="Option/Future",'Inventaire M'!D397="TCN",'Inventaire M'!D397=""),"-",'Inventaire M'!B397)</f>
        <v>-</v>
      </c>
      <c r="D624" s="175"/>
      <c r="E624" s="175" t="str">
        <f>IF(B624="-","",INDEX('Inventaire M'!$A$2:$AW$9305,MATCH(B624,'Inventaire M'!$A:$A,0)-1,MATCH("Cours EUR",'Inventaire M'!#REF!,0)))</f>
        <v/>
      </c>
      <c r="F624" s="175" t="str">
        <f>IF(B624="-","",IF(ISERROR(INDEX('Inventaire M-1'!$A$2:$AZ$9320,MATCH(B624,'Inventaire M-1'!$A:$A,0)-1,MATCH("Cours EUR",'Inventaire M-1'!#REF!,0))),"Buy",INDEX('Inventaire M-1'!$A$2:$AZ$9320,MATCH(B624,'Inventaire M-1'!$A:$A,0)-1,MATCH("Cours EUR",'Inventaire M-1'!#REF!,0))))</f>
        <v/>
      </c>
      <c r="G624" s="175"/>
      <c r="H624" s="156" t="str">
        <f>IF(B624="-","",INDEX('Inventaire M'!$A$2:$AW$9305,MATCH(B624,'Inventaire M'!$A:$A,0)-1,MATCH("quantite",'Inventaire M'!#REF!,0)))</f>
        <v/>
      </c>
      <c r="I624" s="156" t="str">
        <f>IF(C624="-","",IF(ISERROR(INDEX('Inventaire M-1'!$A$2:$AZ$9320,MATCH(B624,'Inventaire M-1'!$A:$A,0)-1,MATCH("quantite",'Inventaire M-1'!#REF!,0))),"Buy",INDEX('Inventaire M-1'!$A$2:$AZ$9320,MATCH(B624,'Inventaire M-1'!$A:$A,0)-1,MATCH("quantite",'Inventaire M-1'!#REF!,0))))</f>
        <v/>
      </c>
      <c r="J624" s="175"/>
      <c r="K624" s="155" t="str">
        <f>IF(B624="-","",INDEX('Inventaire M'!$A$2:$AW$9305,MATCH(B624,'Inventaire M'!$A:$A,0)-1,MATCH("poids",'Inventaire M'!#REF!,0)))</f>
        <v/>
      </c>
      <c r="L624" s="155" t="str">
        <f>IF(B624="-","",IF(ISERROR(INDEX('Inventaire M-1'!$A$2:$AZ$9320,MATCH(B624,'Inventaire M-1'!$A:$A,0)-1,MATCH("poids",'Inventaire M-1'!#REF!,0))),"Buy",INDEX('Inventaire M-1'!$A$2:$AZ$9320,MATCH(B624,'Inventaire M-1'!$A:$A,0)-1,MATCH("poids",'Inventaire M-1'!#REF!,0))))</f>
        <v/>
      </c>
      <c r="M624" s="175"/>
      <c r="N624" s="157" t="str">
        <f t="shared" si="67"/>
        <v>0</v>
      </c>
      <c r="O624" s="98" t="str">
        <f t="shared" si="66"/>
        <v/>
      </c>
      <c r="P624" s="80" t="str">
        <f t="shared" si="68"/>
        <v>-</v>
      </c>
      <c r="Q624" s="75">
        <v>5.9999999999999995E-8</v>
      </c>
      <c r="R624" s="175" t="str">
        <f>IF(OR('Inventaire M-1'!D376="Dispo/Liquidité Investie",'Inventaire M-1'!D376="Option/Future",'Inventaire M-1'!D376="TCN",'Inventaire M-1'!D376=""),"-",'Inventaire M-1'!A376)</f>
        <v>-</v>
      </c>
      <c r="S624" s="175" t="str">
        <f>IF(OR('Inventaire M-1'!D376="Dispo/Liquidité Investie",'Inventaire M-1'!D376="Option/Future",'Inventaire M-1'!D376="TCN",'Inventaire M-1'!D376=""),"-",'Inventaire M-1'!B376)</f>
        <v>-</v>
      </c>
      <c r="T624" s="175"/>
      <c r="U624" s="175" t="str">
        <f>IF(R624="-","",INDEX('Inventaire M-1'!$A$2:$AG$9334,MATCH(R624,'Inventaire M-1'!$A:$A,0)-1,MATCH("Cours EUR",'Inventaire M-1'!#REF!,0)))</f>
        <v/>
      </c>
      <c r="V624" s="175" t="str">
        <f>IF(R624="-","",IF(ISERROR(INDEX('Inventaire M'!$A$2:$AD$9319,MATCH(R624,'Inventaire M'!$A:$A,0)-1,MATCH("Cours EUR",'Inventaire M'!#REF!,0))),"Sell",INDEX('Inventaire M'!$A$2:$AD$9319,MATCH(R624,'Inventaire M'!$A:$A,0)-1,MATCH("Cours EUR",'Inventaire M'!#REF!,0))))</f>
        <v/>
      </c>
      <c r="W624" s="175"/>
      <c r="X624" s="156" t="str">
        <f>IF(R624="-","",INDEX('Inventaire M-1'!$A$2:$AG$9334,MATCH(R624,'Inventaire M-1'!$A:$A,0)-1,MATCH("quantite",'Inventaire M-1'!#REF!,0)))</f>
        <v/>
      </c>
      <c r="Y624" s="156" t="str">
        <f>IF(S624="-","",IF(ISERROR(INDEX('Inventaire M'!$A$2:$AD$9319,MATCH(R624,'Inventaire M'!$A:$A,0)-1,MATCH("quantite",'Inventaire M'!#REF!,0))),"Sell",INDEX('Inventaire M'!$A$2:$AD$9319,MATCH(R624,'Inventaire M'!$A:$A,0)-1,MATCH("quantite",'Inventaire M'!#REF!,0))))</f>
        <v/>
      </c>
      <c r="Z624" s="175"/>
      <c r="AA624" s="155" t="str">
        <f>IF(R624="-","",INDEX('Inventaire M-1'!$A$2:$AG$9334,MATCH(R624,'Inventaire M-1'!$A:$A,0)-1,MATCH("poids",'Inventaire M-1'!#REF!,0)))</f>
        <v/>
      </c>
      <c r="AB624" s="155" t="str">
        <f>IF(R624="-","",IF(ISERROR(INDEX('Inventaire M'!$A$2:$AD$9319,MATCH(R624,'Inventaire M'!$A:$A,0)-1,MATCH("poids",'Inventaire M'!#REF!,0))),"Sell",INDEX('Inventaire M'!$A$2:$AD$9319,MATCH(R624,'Inventaire M'!$A:$A,0)-1,MATCH("poids",'Inventaire M'!#REF!,0))))</f>
        <v/>
      </c>
      <c r="AC624" s="175"/>
      <c r="AD624" s="157" t="str">
        <f t="shared" si="69"/>
        <v>0</v>
      </c>
      <c r="AE624" s="98" t="str">
        <f t="shared" si="70"/>
        <v/>
      </c>
      <c r="AF624" s="80" t="str">
        <f t="shared" si="71"/>
        <v>-</v>
      </c>
    </row>
    <row r="625" spans="2:32" outlineLevel="1">
      <c r="B625" s="175" t="str">
        <f>IF(OR('Inventaire M'!D398="Dispo/Liquidité Investie",'Inventaire M'!D398="Option/Future",'Inventaire M'!D398="TCN",'Inventaire M'!D398=""),"-",'Inventaire M'!A398)</f>
        <v>-</v>
      </c>
      <c r="C625" s="175" t="str">
        <f>IF(OR('Inventaire M'!D398="Dispo/Liquidité Investie",'Inventaire M'!D398="Option/Future",'Inventaire M'!D398="TCN",'Inventaire M'!D398=""),"-",'Inventaire M'!B398)</f>
        <v>-</v>
      </c>
      <c r="D625" s="175"/>
      <c r="E625" s="175" t="str">
        <f>IF(B625="-","",INDEX('Inventaire M'!$A$2:$AW$9305,MATCH(B625,'Inventaire M'!$A:$A,0)-1,MATCH("Cours EUR",'Inventaire M'!#REF!,0)))</f>
        <v/>
      </c>
      <c r="F625" s="175" t="str">
        <f>IF(B625="-","",IF(ISERROR(INDEX('Inventaire M-1'!$A$2:$AZ$9320,MATCH(B625,'Inventaire M-1'!$A:$A,0)-1,MATCH("Cours EUR",'Inventaire M-1'!#REF!,0))),"Buy",INDEX('Inventaire M-1'!$A$2:$AZ$9320,MATCH(B625,'Inventaire M-1'!$A:$A,0)-1,MATCH("Cours EUR",'Inventaire M-1'!#REF!,0))))</f>
        <v/>
      </c>
      <c r="G625" s="175"/>
      <c r="H625" s="156" t="str">
        <f>IF(B625="-","",INDEX('Inventaire M'!$A$2:$AW$9305,MATCH(B625,'Inventaire M'!$A:$A,0)-1,MATCH("quantite",'Inventaire M'!#REF!,0)))</f>
        <v/>
      </c>
      <c r="I625" s="156" t="str">
        <f>IF(C625="-","",IF(ISERROR(INDEX('Inventaire M-1'!$A$2:$AZ$9320,MATCH(B625,'Inventaire M-1'!$A:$A,0)-1,MATCH("quantite",'Inventaire M-1'!#REF!,0))),"Buy",INDEX('Inventaire M-1'!$A$2:$AZ$9320,MATCH(B625,'Inventaire M-1'!$A:$A,0)-1,MATCH("quantite",'Inventaire M-1'!#REF!,0))))</f>
        <v/>
      </c>
      <c r="J625" s="175"/>
      <c r="K625" s="155" t="str">
        <f>IF(B625="-","",INDEX('Inventaire M'!$A$2:$AW$9305,MATCH(B625,'Inventaire M'!$A:$A,0)-1,MATCH("poids",'Inventaire M'!#REF!,0)))</f>
        <v/>
      </c>
      <c r="L625" s="155" t="str">
        <f>IF(B625="-","",IF(ISERROR(INDEX('Inventaire M-1'!$A$2:$AZ$9320,MATCH(B625,'Inventaire M-1'!$A:$A,0)-1,MATCH("poids",'Inventaire M-1'!#REF!,0))),"Buy",INDEX('Inventaire M-1'!$A$2:$AZ$9320,MATCH(B625,'Inventaire M-1'!$A:$A,0)-1,MATCH("poids",'Inventaire M-1'!#REF!,0))))</f>
        <v/>
      </c>
      <c r="M625" s="175"/>
      <c r="N625" s="157" t="str">
        <f t="shared" si="67"/>
        <v>0</v>
      </c>
      <c r="O625" s="98" t="str">
        <f t="shared" si="66"/>
        <v/>
      </c>
      <c r="P625" s="80" t="str">
        <f t="shared" si="68"/>
        <v>-</v>
      </c>
      <c r="Q625" s="75">
        <v>6.0100000000000002E-8</v>
      </c>
      <c r="R625" s="175" t="str">
        <f>IF(OR('Inventaire M-1'!D377="Dispo/Liquidité Investie",'Inventaire M-1'!D377="Option/Future",'Inventaire M-1'!D377="TCN",'Inventaire M-1'!D377=""),"-",'Inventaire M-1'!A377)</f>
        <v>-</v>
      </c>
      <c r="S625" s="175" t="str">
        <f>IF(OR('Inventaire M-1'!D377="Dispo/Liquidité Investie",'Inventaire M-1'!D377="Option/Future",'Inventaire M-1'!D377="TCN",'Inventaire M-1'!D377=""),"-",'Inventaire M-1'!B377)</f>
        <v>-</v>
      </c>
      <c r="T625" s="175"/>
      <c r="U625" s="175" t="str">
        <f>IF(R625="-","",INDEX('Inventaire M-1'!$A$2:$AG$9334,MATCH(R625,'Inventaire M-1'!$A:$A,0)-1,MATCH("Cours EUR",'Inventaire M-1'!#REF!,0)))</f>
        <v/>
      </c>
      <c r="V625" s="175" t="str">
        <f>IF(R625="-","",IF(ISERROR(INDEX('Inventaire M'!$A$2:$AD$9319,MATCH(R625,'Inventaire M'!$A:$A,0)-1,MATCH("Cours EUR",'Inventaire M'!#REF!,0))),"Sell",INDEX('Inventaire M'!$A$2:$AD$9319,MATCH(R625,'Inventaire M'!$A:$A,0)-1,MATCH("Cours EUR",'Inventaire M'!#REF!,0))))</f>
        <v/>
      </c>
      <c r="W625" s="175"/>
      <c r="X625" s="156" t="str">
        <f>IF(R625="-","",INDEX('Inventaire M-1'!$A$2:$AG$9334,MATCH(R625,'Inventaire M-1'!$A:$A,0)-1,MATCH("quantite",'Inventaire M-1'!#REF!,0)))</f>
        <v/>
      </c>
      <c r="Y625" s="156" t="str">
        <f>IF(S625="-","",IF(ISERROR(INDEX('Inventaire M'!$A$2:$AD$9319,MATCH(R625,'Inventaire M'!$A:$A,0)-1,MATCH("quantite",'Inventaire M'!#REF!,0))),"Sell",INDEX('Inventaire M'!$A$2:$AD$9319,MATCH(R625,'Inventaire M'!$A:$A,0)-1,MATCH("quantite",'Inventaire M'!#REF!,0))))</f>
        <v/>
      </c>
      <c r="Z625" s="175"/>
      <c r="AA625" s="155" t="str">
        <f>IF(R625="-","",INDEX('Inventaire M-1'!$A$2:$AG$9334,MATCH(R625,'Inventaire M-1'!$A:$A,0)-1,MATCH("poids",'Inventaire M-1'!#REF!,0)))</f>
        <v/>
      </c>
      <c r="AB625" s="155" t="str">
        <f>IF(R625="-","",IF(ISERROR(INDEX('Inventaire M'!$A$2:$AD$9319,MATCH(R625,'Inventaire M'!$A:$A,0)-1,MATCH("poids",'Inventaire M'!#REF!,0))),"Sell",INDEX('Inventaire M'!$A$2:$AD$9319,MATCH(R625,'Inventaire M'!$A:$A,0)-1,MATCH("poids",'Inventaire M'!#REF!,0))))</f>
        <v/>
      </c>
      <c r="AC625" s="175"/>
      <c r="AD625" s="157" t="str">
        <f t="shared" si="69"/>
        <v>0</v>
      </c>
      <c r="AE625" s="98" t="str">
        <f t="shared" si="70"/>
        <v/>
      </c>
      <c r="AF625" s="80" t="str">
        <f t="shared" si="71"/>
        <v>-</v>
      </c>
    </row>
    <row r="626" spans="2:32" outlineLevel="1">
      <c r="B626" s="175" t="str">
        <f>IF(OR('Inventaire M'!D399="Dispo/Liquidité Investie",'Inventaire M'!D399="Option/Future",'Inventaire M'!D399="TCN",'Inventaire M'!D399=""),"-",'Inventaire M'!A399)</f>
        <v>-</v>
      </c>
      <c r="C626" s="175" t="str">
        <f>IF(OR('Inventaire M'!D399="Dispo/Liquidité Investie",'Inventaire M'!D399="Option/Future",'Inventaire M'!D399="TCN",'Inventaire M'!D399=""),"-",'Inventaire M'!B399)</f>
        <v>-</v>
      </c>
      <c r="D626" s="175"/>
      <c r="E626" s="175" t="str">
        <f>IF(B626="-","",INDEX('Inventaire M'!$A$2:$AW$9305,MATCH(B626,'Inventaire M'!$A:$A,0)-1,MATCH("Cours EUR",'Inventaire M'!#REF!,0)))</f>
        <v/>
      </c>
      <c r="F626" s="175" t="str">
        <f>IF(B626="-","",IF(ISERROR(INDEX('Inventaire M-1'!$A$2:$AZ$9320,MATCH(B626,'Inventaire M-1'!$A:$A,0)-1,MATCH("Cours EUR",'Inventaire M-1'!#REF!,0))),"Buy",INDEX('Inventaire M-1'!$A$2:$AZ$9320,MATCH(B626,'Inventaire M-1'!$A:$A,0)-1,MATCH("Cours EUR",'Inventaire M-1'!#REF!,0))))</f>
        <v/>
      </c>
      <c r="G626" s="175"/>
      <c r="H626" s="156" t="str">
        <f>IF(B626="-","",INDEX('Inventaire M'!$A$2:$AW$9305,MATCH(B626,'Inventaire M'!$A:$A,0)-1,MATCH("quantite",'Inventaire M'!#REF!,0)))</f>
        <v/>
      </c>
      <c r="I626" s="156" t="str">
        <f>IF(C626="-","",IF(ISERROR(INDEX('Inventaire M-1'!$A$2:$AZ$9320,MATCH(B626,'Inventaire M-1'!$A:$A,0)-1,MATCH("quantite",'Inventaire M-1'!#REF!,0))),"Buy",INDEX('Inventaire M-1'!$A$2:$AZ$9320,MATCH(B626,'Inventaire M-1'!$A:$A,0)-1,MATCH("quantite",'Inventaire M-1'!#REF!,0))))</f>
        <v/>
      </c>
      <c r="J626" s="175"/>
      <c r="K626" s="155" t="str">
        <f>IF(B626="-","",INDEX('Inventaire M'!$A$2:$AW$9305,MATCH(B626,'Inventaire M'!$A:$A,0)-1,MATCH("poids",'Inventaire M'!#REF!,0)))</f>
        <v/>
      </c>
      <c r="L626" s="155" t="str">
        <f>IF(B626="-","",IF(ISERROR(INDEX('Inventaire M-1'!$A$2:$AZ$9320,MATCH(B626,'Inventaire M-1'!$A:$A,0)-1,MATCH("poids",'Inventaire M-1'!#REF!,0))),"Buy",INDEX('Inventaire M-1'!$A$2:$AZ$9320,MATCH(B626,'Inventaire M-1'!$A:$A,0)-1,MATCH("poids",'Inventaire M-1'!#REF!,0))))</f>
        <v/>
      </c>
      <c r="M626" s="175"/>
      <c r="N626" s="157" t="str">
        <f t="shared" si="67"/>
        <v>0</v>
      </c>
      <c r="O626" s="98" t="str">
        <f t="shared" si="66"/>
        <v/>
      </c>
      <c r="P626" s="80" t="str">
        <f t="shared" si="68"/>
        <v>-</v>
      </c>
      <c r="Q626" s="75">
        <v>6.0199999999999996E-8</v>
      </c>
      <c r="R626" s="175" t="str">
        <f>IF(OR('Inventaire M-1'!D378="Dispo/Liquidité Investie",'Inventaire M-1'!D378="Option/Future",'Inventaire M-1'!D378="TCN",'Inventaire M-1'!D378=""),"-",'Inventaire M-1'!A378)</f>
        <v>-</v>
      </c>
      <c r="S626" s="175" t="str">
        <f>IF(OR('Inventaire M-1'!D378="Dispo/Liquidité Investie",'Inventaire M-1'!D378="Option/Future",'Inventaire M-1'!D378="TCN",'Inventaire M-1'!D378=""),"-",'Inventaire M-1'!B378)</f>
        <v>-</v>
      </c>
      <c r="T626" s="175"/>
      <c r="U626" s="175" t="str">
        <f>IF(R626="-","",INDEX('Inventaire M-1'!$A$2:$AG$9334,MATCH(R626,'Inventaire M-1'!$A:$A,0)-1,MATCH("Cours EUR",'Inventaire M-1'!#REF!,0)))</f>
        <v/>
      </c>
      <c r="V626" s="175" t="str">
        <f>IF(R626="-","",IF(ISERROR(INDEX('Inventaire M'!$A$2:$AD$9319,MATCH(R626,'Inventaire M'!$A:$A,0)-1,MATCH("Cours EUR",'Inventaire M'!#REF!,0))),"Sell",INDEX('Inventaire M'!$A$2:$AD$9319,MATCH(R626,'Inventaire M'!$A:$A,0)-1,MATCH("Cours EUR",'Inventaire M'!#REF!,0))))</f>
        <v/>
      </c>
      <c r="W626" s="175"/>
      <c r="X626" s="156" t="str">
        <f>IF(R626="-","",INDEX('Inventaire M-1'!$A$2:$AG$9334,MATCH(R626,'Inventaire M-1'!$A:$A,0)-1,MATCH("quantite",'Inventaire M-1'!#REF!,0)))</f>
        <v/>
      </c>
      <c r="Y626" s="156" t="str">
        <f>IF(S626="-","",IF(ISERROR(INDEX('Inventaire M'!$A$2:$AD$9319,MATCH(R626,'Inventaire M'!$A:$A,0)-1,MATCH("quantite",'Inventaire M'!#REF!,0))),"Sell",INDEX('Inventaire M'!$A$2:$AD$9319,MATCH(R626,'Inventaire M'!$A:$A,0)-1,MATCH("quantite",'Inventaire M'!#REF!,0))))</f>
        <v/>
      </c>
      <c r="Z626" s="175"/>
      <c r="AA626" s="155" t="str">
        <f>IF(R626="-","",INDEX('Inventaire M-1'!$A$2:$AG$9334,MATCH(R626,'Inventaire M-1'!$A:$A,0)-1,MATCH("poids",'Inventaire M-1'!#REF!,0)))</f>
        <v/>
      </c>
      <c r="AB626" s="155" t="str">
        <f>IF(R626="-","",IF(ISERROR(INDEX('Inventaire M'!$A$2:$AD$9319,MATCH(R626,'Inventaire M'!$A:$A,0)-1,MATCH("poids",'Inventaire M'!#REF!,0))),"Sell",INDEX('Inventaire M'!$A$2:$AD$9319,MATCH(R626,'Inventaire M'!$A:$A,0)-1,MATCH("poids",'Inventaire M'!#REF!,0))))</f>
        <v/>
      </c>
      <c r="AC626" s="175"/>
      <c r="AD626" s="157" t="str">
        <f t="shared" si="69"/>
        <v>0</v>
      </c>
      <c r="AE626" s="98" t="str">
        <f t="shared" si="70"/>
        <v/>
      </c>
      <c r="AF626" s="80" t="str">
        <f t="shared" si="71"/>
        <v>-</v>
      </c>
    </row>
    <row r="627" spans="2:32" outlineLevel="1">
      <c r="B627" s="175" t="str">
        <f>IF(OR('Inventaire M'!D400="Dispo/Liquidité Investie",'Inventaire M'!D400="Option/Future",'Inventaire M'!D400="TCN",'Inventaire M'!D400=""),"-",'Inventaire M'!A400)</f>
        <v>-</v>
      </c>
      <c r="C627" s="175" t="str">
        <f>IF(OR('Inventaire M'!D400="Dispo/Liquidité Investie",'Inventaire M'!D400="Option/Future",'Inventaire M'!D400="TCN",'Inventaire M'!D400=""),"-",'Inventaire M'!B400)</f>
        <v>-</v>
      </c>
      <c r="D627" s="175"/>
      <c r="E627" s="175" t="str">
        <f>IF(B627="-","",INDEX('Inventaire M'!$A$2:$AW$9305,MATCH(B627,'Inventaire M'!$A:$A,0)-1,MATCH("Cours EUR",'Inventaire M'!#REF!,0)))</f>
        <v/>
      </c>
      <c r="F627" s="175" t="str">
        <f>IF(B627="-","",IF(ISERROR(INDEX('Inventaire M-1'!$A$2:$AZ$9320,MATCH(B627,'Inventaire M-1'!$A:$A,0)-1,MATCH("Cours EUR",'Inventaire M-1'!#REF!,0))),"Buy",INDEX('Inventaire M-1'!$A$2:$AZ$9320,MATCH(B627,'Inventaire M-1'!$A:$A,0)-1,MATCH("Cours EUR",'Inventaire M-1'!#REF!,0))))</f>
        <v/>
      </c>
      <c r="G627" s="175"/>
      <c r="H627" s="156" t="str">
        <f>IF(B627="-","",INDEX('Inventaire M'!$A$2:$AW$9305,MATCH(B627,'Inventaire M'!$A:$A,0)-1,MATCH("quantite",'Inventaire M'!#REF!,0)))</f>
        <v/>
      </c>
      <c r="I627" s="156" t="str">
        <f>IF(C627="-","",IF(ISERROR(INDEX('Inventaire M-1'!$A$2:$AZ$9320,MATCH(B627,'Inventaire M-1'!$A:$A,0)-1,MATCH("quantite",'Inventaire M-1'!#REF!,0))),"Buy",INDEX('Inventaire M-1'!$A$2:$AZ$9320,MATCH(B627,'Inventaire M-1'!$A:$A,0)-1,MATCH("quantite",'Inventaire M-1'!#REF!,0))))</f>
        <v/>
      </c>
      <c r="J627" s="175"/>
      <c r="K627" s="155" t="str">
        <f>IF(B627="-","",INDEX('Inventaire M'!$A$2:$AW$9305,MATCH(B627,'Inventaire M'!$A:$A,0)-1,MATCH("poids",'Inventaire M'!#REF!,0)))</f>
        <v/>
      </c>
      <c r="L627" s="155" t="str">
        <f>IF(B627="-","",IF(ISERROR(INDEX('Inventaire M-1'!$A$2:$AZ$9320,MATCH(B627,'Inventaire M-1'!$A:$A,0)-1,MATCH("poids",'Inventaire M-1'!#REF!,0))),"Buy",INDEX('Inventaire M-1'!$A$2:$AZ$9320,MATCH(B627,'Inventaire M-1'!$A:$A,0)-1,MATCH("poids",'Inventaire M-1'!#REF!,0))))</f>
        <v/>
      </c>
      <c r="M627" s="175"/>
      <c r="N627" s="157" t="str">
        <f t="shared" si="67"/>
        <v>0</v>
      </c>
      <c r="O627" s="98" t="str">
        <f t="shared" si="66"/>
        <v/>
      </c>
      <c r="P627" s="80" t="str">
        <f t="shared" si="68"/>
        <v>-</v>
      </c>
      <c r="Q627" s="75">
        <v>6.0300000000000004E-8</v>
      </c>
      <c r="R627" s="175" t="str">
        <f>IF(OR('Inventaire M-1'!D379="Dispo/Liquidité Investie",'Inventaire M-1'!D379="Option/Future",'Inventaire M-1'!D379="TCN",'Inventaire M-1'!D379=""),"-",'Inventaire M-1'!A379)</f>
        <v>-</v>
      </c>
      <c r="S627" s="175" t="str">
        <f>IF(OR('Inventaire M-1'!D379="Dispo/Liquidité Investie",'Inventaire M-1'!D379="Option/Future",'Inventaire M-1'!D379="TCN",'Inventaire M-1'!D379=""),"-",'Inventaire M-1'!B379)</f>
        <v>-</v>
      </c>
      <c r="T627" s="175"/>
      <c r="U627" s="175" t="str">
        <f>IF(R627="-","",INDEX('Inventaire M-1'!$A$2:$AG$9334,MATCH(R627,'Inventaire M-1'!$A:$A,0)-1,MATCH("Cours EUR",'Inventaire M-1'!#REF!,0)))</f>
        <v/>
      </c>
      <c r="V627" s="175" t="str">
        <f>IF(R627="-","",IF(ISERROR(INDEX('Inventaire M'!$A$2:$AD$9319,MATCH(R627,'Inventaire M'!$A:$A,0)-1,MATCH("Cours EUR",'Inventaire M'!#REF!,0))),"Sell",INDEX('Inventaire M'!$A$2:$AD$9319,MATCH(R627,'Inventaire M'!$A:$A,0)-1,MATCH("Cours EUR",'Inventaire M'!#REF!,0))))</f>
        <v/>
      </c>
      <c r="W627" s="175"/>
      <c r="X627" s="156" t="str">
        <f>IF(R627="-","",INDEX('Inventaire M-1'!$A$2:$AG$9334,MATCH(R627,'Inventaire M-1'!$A:$A,0)-1,MATCH("quantite",'Inventaire M-1'!#REF!,0)))</f>
        <v/>
      </c>
      <c r="Y627" s="156" t="str">
        <f>IF(S627="-","",IF(ISERROR(INDEX('Inventaire M'!$A$2:$AD$9319,MATCH(R627,'Inventaire M'!$A:$A,0)-1,MATCH("quantite",'Inventaire M'!#REF!,0))),"Sell",INDEX('Inventaire M'!$A$2:$AD$9319,MATCH(R627,'Inventaire M'!$A:$A,0)-1,MATCH("quantite",'Inventaire M'!#REF!,0))))</f>
        <v/>
      </c>
      <c r="Z627" s="175"/>
      <c r="AA627" s="155" t="str">
        <f>IF(R627="-","",INDEX('Inventaire M-1'!$A$2:$AG$9334,MATCH(R627,'Inventaire M-1'!$A:$A,0)-1,MATCH("poids",'Inventaire M-1'!#REF!,0)))</f>
        <v/>
      </c>
      <c r="AB627" s="155" t="str">
        <f>IF(R627="-","",IF(ISERROR(INDEX('Inventaire M'!$A$2:$AD$9319,MATCH(R627,'Inventaire M'!$A:$A,0)-1,MATCH("poids",'Inventaire M'!#REF!,0))),"Sell",INDEX('Inventaire M'!$A$2:$AD$9319,MATCH(R627,'Inventaire M'!$A:$A,0)-1,MATCH("poids",'Inventaire M'!#REF!,0))))</f>
        <v/>
      </c>
      <c r="AC627" s="175"/>
      <c r="AD627" s="157" t="str">
        <f t="shared" si="69"/>
        <v>0</v>
      </c>
      <c r="AE627" s="98" t="str">
        <f t="shared" si="70"/>
        <v/>
      </c>
      <c r="AF627" s="80" t="str">
        <f t="shared" si="71"/>
        <v>-</v>
      </c>
    </row>
    <row r="628" spans="2:32" outlineLevel="1">
      <c r="B628" s="175" t="str">
        <f>IF(OR('Inventaire M'!D401="Dispo/Liquidité Investie",'Inventaire M'!D401="Option/Future",'Inventaire M'!D401="TCN",'Inventaire M'!D401=""),"-",'Inventaire M'!A401)</f>
        <v>-</v>
      </c>
      <c r="C628" s="175" t="str">
        <f>IF(OR('Inventaire M'!D401="Dispo/Liquidité Investie",'Inventaire M'!D401="Option/Future",'Inventaire M'!D401="TCN",'Inventaire M'!D401=""),"-",'Inventaire M'!B401)</f>
        <v>-</v>
      </c>
      <c r="D628" s="175"/>
      <c r="E628" s="175" t="str">
        <f>IF(B628="-","",INDEX('Inventaire M'!$A$2:$AW$9305,MATCH(B628,'Inventaire M'!$A:$A,0)-1,MATCH("Cours EUR",'Inventaire M'!#REF!,0)))</f>
        <v/>
      </c>
      <c r="F628" s="175" t="str">
        <f>IF(B628="-","",IF(ISERROR(INDEX('Inventaire M-1'!$A$2:$AZ$9320,MATCH(B628,'Inventaire M-1'!$A:$A,0)-1,MATCH("Cours EUR",'Inventaire M-1'!#REF!,0))),"Buy",INDEX('Inventaire M-1'!$A$2:$AZ$9320,MATCH(B628,'Inventaire M-1'!$A:$A,0)-1,MATCH("Cours EUR",'Inventaire M-1'!#REF!,0))))</f>
        <v/>
      </c>
      <c r="G628" s="175"/>
      <c r="H628" s="156" t="str">
        <f>IF(B628="-","",INDEX('Inventaire M'!$A$2:$AW$9305,MATCH(B628,'Inventaire M'!$A:$A,0)-1,MATCH("quantite",'Inventaire M'!#REF!,0)))</f>
        <v/>
      </c>
      <c r="I628" s="156" t="str">
        <f>IF(C628="-","",IF(ISERROR(INDEX('Inventaire M-1'!$A$2:$AZ$9320,MATCH(B628,'Inventaire M-1'!$A:$A,0)-1,MATCH("quantite",'Inventaire M-1'!#REF!,0))),"Buy",INDEX('Inventaire M-1'!$A$2:$AZ$9320,MATCH(B628,'Inventaire M-1'!$A:$A,0)-1,MATCH("quantite",'Inventaire M-1'!#REF!,0))))</f>
        <v/>
      </c>
      <c r="J628" s="175"/>
      <c r="K628" s="155" t="str">
        <f>IF(B628="-","",INDEX('Inventaire M'!$A$2:$AW$9305,MATCH(B628,'Inventaire M'!$A:$A,0)-1,MATCH("poids",'Inventaire M'!#REF!,0)))</f>
        <v/>
      </c>
      <c r="L628" s="155" t="str">
        <f>IF(B628="-","",IF(ISERROR(INDEX('Inventaire M-1'!$A$2:$AZ$9320,MATCH(B628,'Inventaire M-1'!$A:$A,0)-1,MATCH("poids",'Inventaire M-1'!#REF!,0))),"Buy",INDEX('Inventaire M-1'!$A$2:$AZ$9320,MATCH(B628,'Inventaire M-1'!$A:$A,0)-1,MATCH("poids",'Inventaire M-1'!#REF!,0))))</f>
        <v/>
      </c>
      <c r="M628" s="175"/>
      <c r="N628" s="157" t="str">
        <f t="shared" si="67"/>
        <v>0</v>
      </c>
      <c r="O628" s="98" t="str">
        <f t="shared" si="66"/>
        <v/>
      </c>
      <c r="P628" s="80" t="str">
        <f t="shared" si="68"/>
        <v>-</v>
      </c>
      <c r="Q628" s="75">
        <v>6.0399999999999998E-8</v>
      </c>
      <c r="R628" s="175" t="str">
        <f>IF(OR('Inventaire M-1'!D380="Dispo/Liquidité Investie",'Inventaire M-1'!D380="Option/Future",'Inventaire M-1'!D380="TCN",'Inventaire M-1'!D380=""),"-",'Inventaire M-1'!A380)</f>
        <v>-</v>
      </c>
      <c r="S628" s="175" t="str">
        <f>IF(OR('Inventaire M-1'!D380="Dispo/Liquidité Investie",'Inventaire M-1'!D380="Option/Future",'Inventaire M-1'!D380="TCN",'Inventaire M-1'!D380=""),"-",'Inventaire M-1'!B380)</f>
        <v>-</v>
      </c>
      <c r="T628" s="175"/>
      <c r="U628" s="175" t="str">
        <f>IF(R628="-","",INDEX('Inventaire M-1'!$A$2:$AG$9334,MATCH(R628,'Inventaire M-1'!$A:$A,0)-1,MATCH("Cours EUR",'Inventaire M-1'!#REF!,0)))</f>
        <v/>
      </c>
      <c r="V628" s="175" t="str">
        <f>IF(R628="-","",IF(ISERROR(INDEX('Inventaire M'!$A$2:$AD$9319,MATCH(R628,'Inventaire M'!$A:$A,0)-1,MATCH("Cours EUR",'Inventaire M'!#REF!,0))),"Sell",INDEX('Inventaire M'!$A$2:$AD$9319,MATCH(R628,'Inventaire M'!$A:$A,0)-1,MATCH("Cours EUR",'Inventaire M'!#REF!,0))))</f>
        <v/>
      </c>
      <c r="W628" s="175"/>
      <c r="X628" s="156" t="str">
        <f>IF(R628="-","",INDEX('Inventaire M-1'!$A$2:$AG$9334,MATCH(R628,'Inventaire M-1'!$A:$A,0)-1,MATCH("quantite",'Inventaire M-1'!#REF!,0)))</f>
        <v/>
      </c>
      <c r="Y628" s="156" t="str">
        <f>IF(S628="-","",IF(ISERROR(INDEX('Inventaire M'!$A$2:$AD$9319,MATCH(R628,'Inventaire M'!$A:$A,0)-1,MATCH("quantite",'Inventaire M'!#REF!,0))),"Sell",INDEX('Inventaire M'!$A$2:$AD$9319,MATCH(R628,'Inventaire M'!$A:$A,0)-1,MATCH("quantite",'Inventaire M'!#REF!,0))))</f>
        <v/>
      </c>
      <c r="Z628" s="175"/>
      <c r="AA628" s="155" t="str">
        <f>IF(R628="-","",INDEX('Inventaire M-1'!$A$2:$AG$9334,MATCH(R628,'Inventaire M-1'!$A:$A,0)-1,MATCH("poids",'Inventaire M-1'!#REF!,0)))</f>
        <v/>
      </c>
      <c r="AB628" s="155" t="str">
        <f>IF(R628="-","",IF(ISERROR(INDEX('Inventaire M'!$A$2:$AD$9319,MATCH(R628,'Inventaire M'!$A:$A,0)-1,MATCH("poids",'Inventaire M'!#REF!,0))),"Sell",INDEX('Inventaire M'!$A$2:$AD$9319,MATCH(R628,'Inventaire M'!$A:$A,0)-1,MATCH("poids",'Inventaire M'!#REF!,0))))</f>
        <v/>
      </c>
      <c r="AC628" s="175"/>
      <c r="AD628" s="157" t="str">
        <f t="shared" si="69"/>
        <v>0</v>
      </c>
      <c r="AE628" s="98" t="str">
        <f t="shared" si="70"/>
        <v/>
      </c>
      <c r="AF628" s="80" t="str">
        <f t="shared" si="71"/>
        <v>-</v>
      </c>
    </row>
    <row r="629" spans="2:32" outlineLevel="1">
      <c r="B629" s="175" t="str">
        <f>IF(OR('Inventaire M'!D402="Dispo/Liquidité Investie",'Inventaire M'!D402="Option/Future",'Inventaire M'!D402="TCN",'Inventaire M'!D402=""),"-",'Inventaire M'!A402)</f>
        <v>-</v>
      </c>
      <c r="C629" s="175" t="str">
        <f>IF(OR('Inventaire M'!D402="Dispo/Liquidité Investie",'Inventaire M'!D402="Option/Future",'Inventaire M'!D402="TCN",'Inventaire M'!D402=""),"-",'Inventaire M'!B402)</f>
        <v>-</v>
      </c>
      <c r="D629" s="175"/>
      <c r="E629" s="175" t="str">
        <f>IF(B629="-","",INDEX('Inventaire M'!$A$2:$AW$9305,MATCH(B629,'Inventaire M'!$A:$A,0)-1,MATCH("Cours EUR",'Inventaire M'!#REF!,0)))</f>
        <v/>
      </c>
      <c r="F629" s="175" t="str">
        <f>IF(B629="-","",IF(ISERROR(INDEX('Inventaire M-1'!$A$2:$AZ$9320,MATCH(B629,'Inventaire M-1'!$A:$A,0)-1,MATCH("Cours EUR",'Inventaire M-1'!#REF!,0))),"Buy",INDEX('Inventaire M-1'!$A$2:$AZ$9320,MATCH(B629,'Inventaire M-1'!$A:$A,0)-1,MATCH("Cours EUR",'Inventaire M-1'!#REF!,0))))</f>
        <v/>
      </c>
      <c r="G629" s="175"/>
      <c r="H629" s="156" t="str">
        <f>IF(B629="-","",INDEX('Inventaire M'!$A$2:$AW$9305,MATCH(B629,'Inventaire M'!$A:$A,0)-1,MATCH("quantite",'Inventaire M'!#REF!,0)))</f>
        <v/>
      </c>
      <c r="I629" s="156" t="str">
        <f>IF(C629="-","",IF(ISERROR(INDEX('Inventaire M-1'!$A$2:$AZ$9320,MATCH(B629,'Inventaire M-1'!$A:$A,0)-1,MATCH("quantite",'Inventaire M-1'!#REF!,0))),"Buy",INDEX('Inventaire M-1'!$A$2:$AZ$9320,MATCH(B629,'Inventaire M-1'!$A:$A,0)-1,MATCH("quantite",'Inventaire M-1'!#REF!,0))))</f>
        <v/>
      </c>
      <c r="J629" s="175"/>
      <c r="K629" s="155" t="str">
        <f>IF(B629="-","",INDEX('Inventaire M'!$A$2:$AW$9305,MATCH(B629,'Inventaire M'!$A:$A,0)-1,MATCH("poids",'Inventaire M'!#REF!,0)))</f>
        <v/>
      </c>
      <c r="L629" s="155" t="str">
        <f>IF(B629="-","",IF(ISERROR(INDEX('Inventaire M-1'!$A$2:$AZ$9320,MATCH(B629,'Inventaire M-1'!$A:$A,0)-1,MATCH("poids",'Inventaire M-1'!#REF!,0))),"Buy",INDEX('Inventaire M-1'!$A$2:$AZ$9320,MATCH(B629,'Inventaire M-1'!$A:$A,0)-1,MATCH("poids",'Inventaire M-1'!#REF!,0))))</f>
        <v/>
      </c>
      <c r="M629" s="175"/>
      <c r="N629" s="157" t="str">
        <f t="shared" si="67"/>
        <v>0</v>
      </c>
      <c r="O629" s="98" t="str">
        <f t="shared" si="66"/>
        <v/>
      </c>
      <c r="P629" s="80" t="str">
        <f t="shared" si="68"/>
        <v>-</v>
      </c>
      <c r="Q629" s="75">
        <v>6.0500000000000006E-8</v>
      </c>
      <c r="R629" s="175" t="str">
        <f>IF(OR('Inventaire M-1'!D381="Dispo/Liquidité Investie",'Inventaire M-1'!D381="Option/Future",'Inventaire M-1'!D381="TCN",'Inventaire M-1'!D381=""),"-",'Inventaire M-1'!A381)</f>
        <v>-</v>
      </c>
      <c r="S629" s="175" t="str">
        <f>IF(OR('Inventaire M-1'!D381="Dispo/Liquidité Investie",'Inventaire M-1'!D381="Option/Future",'Inventaire M-1'!D381="TCN",'Inventaire M-1'!D381=""),"-",'Inventaire M-1'!B381)</f>
        <v>-</v>
      </c>
      <c r="T629" s="175"/>
      <c r="U629" s="175" t="str">
        <f>IF(R629="-","",INDEX('Inventaire M-1'!$A$2:$AG$9334,MATCH(R629,'Inventaire M-1'!$A:$A,0)-1,MATCH("Cours EUR",'Inventaire M-1'!#REF!,0)))</f>
        <v/>
      </c>
      <c r="V629" s="175" t="str">
        <f>IF(R629="-","",IF(ISERROR(INDEX('Inventaire M'!$A$2:$AD$9319,MATCH(R629,'Inventaire M'!$A:$A,0)-1,MATCH("Cours EUR",'Inventaire M'!#REF!,0))),"Sell",INDEX('Inventaire M'!$A$2:$AD$9319,MATCH(R629,'Inventaire M'!$A:$A,0)-1,MATCH("Cours EUR",'Inventaire M'!#REF!,0))))</f>
        <v/>
      </c>
      <c r="W629" s="175"/>
      <c r="X629" s="156" t="str">
        <f>IF(R629="-","",INDEX('Inventaire M-1'!$A$2:$AG$9334,MATCH(R629,'Inventaire M-1'!$A:$A,0)-1,MATCH("quantite",'Inventaire M-1'!#REF!,0)))</f>
        <v/>
      </c>
      <c r="Y629" s="156" t="str">
        <f>IF(S629="-","",IF(ISERROR(INDEX('Inventaire M'!$A$2:$AD$9319,MATCH(R629,'Inventaire M'!$A:$A,0)-1,MATCH("quantite",'Inventaire M'!#REF!,0))),"Sell",INDEX('Inventaire M'!$A$2:$AD$9319,MATCH(R629,'Inventaire M'!$A:$A,0)-1,MATCH("quantite",'Inventaire M'!#REF!,0))))</f>
        <v/>
      </c>
      <c r="Z629" s="175"/>
      <c r="AA629" s="155" t="str">
        <f>IF(R629="-","",INDEX('Inventaire M-1'!$A$2:$AG$9334,MATCH(R629,'Inventaire M-1'!$A:$A,0)-1,MATCH("poids",'Inventaire M-1'!#REF!,0)))</f>
        <v/>
      </c>
      <c r="AB629" s="155" t="str">
        <f>IF(R629="-","",IF(ISERROR(INDEX('Inventaire M'!$A$2:$AD$9319,MATCH(R629,'Inventaire M'!$A:$A,0)-1,MATCH("poids",'Inventaire M'!#REF!,0))),"Sell",INDEX('Inventaire M'!$A$2:$AD$9319,MATCH(R629,'Inventaire M'!$A:$A,0)-1,MATCH("poids",'Inventaire M'!#REF!,0))))</f>
        <v/>
      </c>
      <c r="AC629" s="175"/>
      <c r="AD629" s="157" t="str">
        <f t="shared" si="69"/>
        <v>0</v>
      </c>
      <c r="AE629" s="98" t="str">
        <f t="shared" si="70"/>
        <v/>
      </c>
      <c r="AF629" s="80" t="str">
        <f t="shared" si="71"/>
        <v>-</v>
      </c>
    </row>
    <row r="630" spans="2:32" outlineLevel="1">
      <c r="B630" s="175" t="str">
        <f>IF(OR('Inventaire M'!D403="Dispo/Liquidité Investie",'Inventaire M'!D403="Option/Future",'Inventaire M'!D403="TCN",'Inventaire M'!D403=""),"-",'Inventaire M'!A403)</f>
        <v>-</v>
      </c>
      <c r="C630" s="175" t="str">
        <f>IF(OR('Inventaire M'!D403="Dispo/Liquidité Investie",'Inventaire M'!D403="Option/Future",'Inventaire M'!D403="TCN",'Inventaire M'!D403=""),"-",'Inventaire M'!B403)</f>
        <v>-</v>
      </c>
      <c r="D630" s="175"/>
      <c r="E630" s="175" t="str">
        <f>IF(B630="-","",INDEX('Inventaire M'!$A$2:$AW$9305,MATCH(B630,'Inventaire M'!$A:$A,0)-1,MATCH("Cours EUR",'Inventaire M'!#REF!,0)))</f>
        <v/>
      </c>
      <c r="F630" s="175" t="str">
        <f>IF(B630="-","",IF(ISERROR(INDEX('Inventaire M-1'!$A$2:$AZ$9320,MATCH(B630,'Inventaire M-1'!$A:$A,0)-1,MATCH("Cours EUR",'Inventaire M-1'!#REF!,0))),"Buy",INDEX('Inventaire M-1'!$A$2:$AZ$9320,MATCH(B630,'Inventaire M-1'!$A:$A,0)-1,MATCH("Cours EUR",'Inventaire M-1'!#REF!,0))))</f>
        <v/>
      </c>
      <c r="G630" s="175"/>
      <c r="H630" s="156" t="str">
        <f>IF(B630="-","",INDEX('Inventaire M'!$A$2:$AW$9305,MATCH(B630,'Inventaire M'!$A:$A,0)-1,MATCH("quantite",'Inventaire M'!#REF!,0)))</f>
        <v/>
      </c>
      <c r="I630" s="156" t="str">
        <f>IF(C630="-","",IF(ISERROR(INDEX('Inventaire M-1'!$A$2:$AZ$9320,MATCH(B630,'Inventaire M-1'!$A:$A,0)-1,MATCH("quantite",'Inventaire M-1'!#REF!,0))),"Buy",INDEX('Inventaire M-1'!$A$2:$AZ$9320,MATCH(B630,'Inventaire M-1'!$A:$A,0)-1,MATCH("quantite",'Inventaire M-1'!#REF!,0))))</f>
        <v/>
      </c>
      <c r="J630" s="175"/>
      <c r="K630" s="155" t="str">
        <f>IF(B630="-","",INDEX('Inventaire M'!$A$2:$AW$9305,MATCH(B630,'Inventaire M'!$A:$A,0)-1,MATCH("poids",'Inventaire M'!#REF!,0)))</f>
        <v/>
      </c>
      <c r="L630" s="155" t="str">
        <f>IF(B630="-","",IF(ISERROR(INDEX('Inventaire M-1'!$A$2:$AZ$9320,MATCH(B630,'Inventaire M-1'!$A:$A,0)-1,MATCH("poids",'Inventaire M-1'!#REF!,0))),"Buy",INDEX('Inventaire M-1'!$A$2:$AZ$9320,MATCH(B630,'Inventaire M-1'!$A:$A,0)-1,MATCH("poids",'Inventaire M-1'!#REF!,0))))</f>
        <v/>
      </c>
      <c r="M630" s="175"/>
      <c r="N630" s="157" t="str">
        <f t="shared" si="67"/>
        <v>0</v>
      </c>
      <c r="O630" s="98" t="str">
        <f t="shared" si="66"/>
        <v/>
      </c>
      <c r="P630" s="80" t="str">
        <f t="shared" si="68"/>
        <v>-</v>
      </c>
      <c r="Q630" s="75">
        <v>6.06E-8</v>
      </c>
      <c r="R630" s="175" t="str">
        <f>IF(OR('Inventaire M-1'!D382="Dispo/Liquidité Investie",'Inventaire M-1'!D382="Option/Future",'Inventaire M-1'!D382="TCN",'Inventaire M-1'!D382=""),"-",'Inventaire M-1'!A382)</f>
        <v>-</v>
      </c>
      <c r="S630" s="175" t="str">
        <f>IF(OR('Inventaire M-1'!D382="Dispo/Liquidité Investie",'Inventaire M-1'!D382="Option/Future",'Inventaire M-1'!D382="TCN",'Inventaire M-1'!D382=""),"-",'Inventaire M-1'!B382)</f>
        <v>-</v>
      </c>
      <c r="T630" s="175"/>
      <c r="U630" s="175" t="str">
        <f>IF(R630="-","",INDEX('Inventaire M-1'!$A$2:$AG$9334,MATCH(R630,'Inventaire M-1'!$A:$A,0)-1,MATCH("Cours EUR",'Inventaire M-1'!#REF!,0)))</f>
        <v/>
      </c>
      <c r="V630" s="175" t="str">
        <f>IF(R630="-","",IF(ISERROR(INDEX('Inventaire M'!$A$2:$AD$9319,MATCH(R630,'Inventaire M'!$A:$A,0)-1,MATCH("Cours EUR",'Inventaire M'!#REF!,0))),"Sell",INDEX('Inventaire M'!$A$2:$AD$9319,MATCH(R630,'Inventaire M'!$A:$A,0)-1,MATCH("Cours EUR",'Inventaire M'!#REF!,0))))</f>
        <v/>
      </c>
      <c r="W630" s="175"/>
      <c r="X630" s="156" t="str">
        <f>IF(R630="-","",INDEX('Inventaire M-1'!$A$2:$AG$9334,MATCH(R630,'Inventaire M-1'!$A:$A,0)-1,MATCH("quantite",'Inventaire M-1'!#REF!,0)))</f>
        <v/>
      </c>
      <c r="Y630" s="156" t="str">
        <f>IF(S630="-","",IF(ISERROR(INDEX('Inventaire M'!$A$2:$AD$9319,MATCH(R630,'Inventaire M'!$A:$A,0)-1,MATCH("quantite",'Inventaire M'!#REF!,0))),"Sell",INDEX('Inventaire M'!$A$2:$AD$9319,MATCH(R630,'Inventaire M'!$A:$A,0)-1,MATCH("quantite",'Inventaire M'!#REF!,0))))</f>
        <v/>
      </c>
      <c r="Z630" s="175"/>
      <c r="AA630" s="155" t="str">
        <f>IF(R630="-","",INDEX('Inventaire M-1'!$A$2:$AG$9334,MATCH(R630,'Inventaire M-1'!$A:$A,0)-1,MATCH("poids",'Inventaire M-1'!#REF!,0)))</f>
        <v/>
      </c>
      <c r="AB630" s="155" t="str">
        <f>IF(R630="-","",IF(ISERROR(INDEX('Inventaire M'!$A$2:$AD$9319,MATCH(R630,'Inventaire M'!$A:$A,0)-1,MATCH("poids",'Inventaire M'!#REF!,0))),"Sell",INDEX('Inventaire M'!$A$2:$AD$9319,MATCH(R630,'Inventaire M'!$A:$A,0)-1,MATCH("poids",'Inventaire M'!#REF!,0))))</f>
        <v/>
      </c>
      <c r="AC630" s="175"/>
      <c r="AD630" s="157" t="str">
        <f t="shared" si="69"/>
        <v>0</v>
      </c>
      <c r="AE630" s="98" t="str">
        <f t="shared" si="70"/>
        <v/>
      </c>
      <c r="AF630" s="80" t="str">
        <f t="shared" si="71"/>
        <v>-</v>
      </c>
    </row>
    <row r="631" spans="2:32" outlineLevel="1">
      <c r="B631" s="175" t="str">
        <f>IF(OR('Inventaire M'!D404="Dispo/Liquidité Investie",'Inventaire M'!D404="Option/Future",'Inventaire M'!D404="TCN",'Inventaire M'!D404=""),"-",'Inventaire M'!A404)</f>
        <v>-</v>
      </c>
      <c r="C631" s="175" t="str">
        <f>IF(OR('Inventaire M'!D404="Dispo/Liquidité Investie",'Inventaire M'!D404="Option/Future",'Inventaire M'!D404="TCN",'Inventaire M'!D404=""),"-",'Inventaire M'!B404)</f>
        <v>-</v>
      </c>
      <c r="D631" s="175"/>
      <c r="E631" s="175" t="str">
        <f>IF(B631="-","",INDEX('Inventaire M'!$A$2:$AW$9305,MATCH(B631,'Inventaire M'!$A:$A,0)-1,MATCH("Cours EUR",'Inventaire M'!#REF!,0)))</f>
        <v/>
      </c>
      <c r="F631" s="175" t="str">
        <f>IF(B631="-","",IF(ISERROR(INDEX('Inventaire M-1'!$A$2:$AZ$9320,MATCH(B631,'Inventaire M-1'!$A:$A,0)-1,MATCH("Cours EUR",'Inventaire M-1'!#REF!,0))),"Buy",INDEX('Inventaire M-1'!$A$2:$AZ$9320,MATCH(B631,'Inventaire M-1'!$A:$A,0)-1,MATCH("Cours EUR",'Inventaire M-1'!#REF!,0))))</f>
        <v/>
      </c>
      <c r="G631" s="175"/>
      <c r="H631" s="156" t="str">
        <f>IF(B631="-","",INDEX('Inventaire M'!$A$2:$AW$9305,MATCH(B631,'Inventaire M'!$A:$A,0)-1,MATCH("quantite",'Inventaire M'!#REF!,0)))</f>
        <v/>
      </c>
      <c r="I631" s="156" t="str">
        <f>IF(C631="-","",IF(ISERROR(INDEX('Inventaire M-1'!$A$2:$AZ$9320,MATCH(B631,'Inventaire M-1'!$A:$A,0)-1,MATCH("quantite",'Inventaire M-1'!#REF!,0))),"Buy",INDEX('Inventaire M-1'!$A$2:$AZ$9320,MATCH(B631,'Inventaire M-1'!$A:$A,0)-1,MATCH("quantite",'Inventaire M-1'!#REF!,0))))</f>
        <v/>
      </c>
      <c r="J631" s="175"/>
      <c r="K631" s="155" t="str">
        <f>IF(B631="-","",INDEX('Inventaire M'!$A$2:$AW$9305,MATCH(B631,'Inventaire M'!$A:$A,0)-1,MATCH("poids",'Inventaire M'!#REF!,0)))</f>
        <v/>
      </c>
      <c r="L631" s="155" t="str">
        <f>IF(B631="-","",IF(ISERROR(INDEX('Inventaire M-1'!$A$2:$AZ$9320,MATCH(B631,'Inventaire M-1'!$A:$A,0)-1,MATCH("poids",'Inventaire M-1'!#REF!,0))),"Buy",INDEX('Inventaire M-1'!$A$2:$AZ$9320,MATCH(B631,'Inventaire M-1'!$A:$A,0)-1,MATCH("poids",'Inventaire M-1'!#REF!,0))))</f>
        <v/>
      </c>
      <c r="M631" s="175"/>
      <c r="N631" s="157" t="str">
        <f t="shared" si="67"/>
        <v>0</v>
      </c>
      <c r="O631" s="98" t="str">
        <f t="shared" si="66"/>
        <v/>
      </c>
      <c r="P631" s="80" t="str">
        <f t="shared" si="68"/>
        <v>-</v>
      </c>
      <c r="Q631" s="75">
        <v>6.0699999999999994E-8</v>
      </c>
      <c r="R631" s="175" t="str">
        <f>IF(OR('Inventaire M-1'!D383="Dispo/Liquidité Investie",'Inventaire M-1'!D383="Option/Future",'Inventaire M-1'!D383="TCN",'Inventaire M-1'!D383=""),"-",'Inventaire M-1'!A383)</f>
        <v>-</v>
      </c>
      <c r="S631" s="175" t="str">
        <f>IF(OR('Inventaire M-1'!D383="Dispo/Liquidité Investie",'Inventaire M-1'!D383="Option/Future",'Inventaire M-1'!D383="TCN",'Inventaire M-1'!D383=""),"-",'Inventaire M-1'!B383)</f>
        <v>-</v>
      </c>
      <c r="T631" s="175"/>
      <c r="U631" s="175" t="str">
        <f>IF(R631="-","",INDEX('Inventaire M-1'!$A$2:$AG$9334,MATCH(R631,'Inventaire M-1'!$A:$A,0)-1,MATCH("Cours EUR",'Inventaire M-1'!#REF!,0)))</f>
        <v/>
      </c>
      <c r="V631" s="175" t="str">
        <f>IF(R631="-","",IF(ISERROR(INDEX('Inventaire M'!$A$2:$AD$9319,MATCH(R631,'Inventaire M'!$A:$A,0)-1,MATCH("Cours EUR",'Inventaire M'!#REF!,0))),"Sell",INDEX('Inventaire M'!$A$2:$AD$9319,MATCH(R631,'Inventaire M'!$A:$A,0)-1,MATCH("Cours EUR",'Inventaire M'!#REF!,0))))</f>
        <v/>
      </c>
      <c r="W631" s="175"/>
      <c r="X631" s="156" t="str">
        <f>IF(R631="-","",INDEX('Inventaire M-1'!$A$2:$AG$9334,MATCH(R631,'Inventaire M-1'!$A:$A,0)-1,MATCH("quantite",'Inventaire M-1'!#REF!,0)))</f>
        <v/>
      </c>
      <c r="Y631" s="156" t="str">
        <f>IF(S631="-","",IF(ISERROR(INDEX('Inventaire M'!$A$2:$AD$9319,MATCH(R631,'Inventaire M'!$A:$A,0)-1,MATCH("quantite",'Inventaire M'!#REF!,0))),"Sell",INDEX('Inventaire M'!$A$2:$AD$9319,MATCH(R631,'Inventaire M'!$A:$A,0)-1,MATCH("quantite",'Inventaire M'!#REF!,0))))</f>
        <v/>
      </c>
      <c r="Z631" s="175"/>
      <c r="AA631" s="155" t="str">
        <f>IF(R631="-","",INDEX('Inventaire M-1'!$A$2:$AG$9334,MATCH(R631,'Inventaire M-1'!$A:$A,0)-1,MATCH("poids",'Inventaire M-1'!#REF!,0)))</f>
        <v/>
      </c>
      <c r="AB631" s="155" t="str">
        <f>IF(R631="-","",IF(ISERROR(INDEX('Inventaire M'!$A$2:$AD$9319,MATCH(R631,'Inventaire M'!$A:$A,0)-1,MATCH("poids",'Inventaire M'!#REF!,0))),"Sell",INDEX('Inventaire M'!$A$2:$AD$9319,MATCH(R631,'Inventaire M'!$A:$A,0)-1,MATCH("poids",'Inventaire M'!#REF!,0))))</f>
        <v/>
      </c>
      <c r="AC631" s="175"/>
      <c r="AD631" s="157" t="str">
        <f t="shared" si="69"/>
        <v>0</v>
      </c>
      <c r="AE631" s="98" t="str">
        <f t="shared" si="70"/>
        <v/>
      </c>
      <c r="AF631" s="80" t="str">
        <f t="shared" si="71"/>
        <v>-</v>
      </c>
    </row>
    <row r="632" spans="2:32" outlineLevel="1">
      <c r="B632" s="175" t="str">
        <f>IF(OR('Inventaire M'!D405="Dispo/Liquidité Investie",'Inventaire M'!D405="Option/Future",'Inventaire M'!D405="TCN",'Inventaire M'!D405=""),"-",'Inventaire M'!A405)</f>
        <v>-</v>
      </c>
      <c r="C632" s="175" t="str">
        <f>IF(OR('Inventaire M'!D405="Dispo/Liquidité Investie",'Inventaire M'!D405="Option/Future",'Inventaire M'!D405="TCN",'Inventaire M'!D405=""),"-",'Inventaire M'!B405)</f>
        <v>-</v>
      </c>
      <c r="D632" s="175"/>
      <c r="E632" s="175" t="str">
        <f>IF(B632="-","",INDEX('Inventaire M'!$A$2:$AW$9305,MATCH(B632,'Inventaire M'!$A:$A,0)-1,MATCH("Cours EUR",'Inventaire M'!#REF!,0)))</f>
        <v/>
      </c>
      <c r="F632" s="175" t="str">
        <f>IF(B632="-","",IF(ISERROR(INDEX('Inventaire M-1'!$A$2:$AZ$9320,MATCH(B632,'Inventaire M-1'!$A:$A,0)-1,MATCH("Cours EUR",'Inventaire M-1'!#REF!,0))),"Buy",INDEX('Inventaire M-1'!$A$2:$AZ$9320,MATCH(B632,'Inventaire M-1'!$A:$A,0)-1,MATCH("Cours EUR",'Inventaire M-1'!#REF!,0))))</f>
        <v/>
      </c>
      <c r="G632" s="175"/>
      <c r="H632" s="156" t="str">
        <f>IF(B632="-","",INDEX('Inventaire M'!$A$2:$AW$9305,MATCH(B632,'Inventaire M'!$A:$A,0)-1,MATCH("quantite",'Inventaire M'!#REF!,0)))</f>
        <v/>
      </c>
      <c r="I632" s="156" t="str">
        <f>IF(C632="-","",IF(ISERROR(INDEX('Inventaire M-1'!$A$2:$AZ$9320,MATCH(B632,'Inventaire M-1'!$A:$A,0)-1,MATCH("quantite",'Inventaire M-1'!#REF!,0))),"Buy",INDEX('Inventaire M-1'!$A$2:$AZ$9320,MATCH(B632,'Inventaire M-1'!$A:$A,0)-1,MATCH("quantite",'Inventaire M-1'!#REF!,0))))</f>
        <v/>
      </c>
      <c r="J632" s="175"/>
      <c r="K632" s="155" t="str">
        <f>IF(B632="-","",INDEX('Inventaire M'!$A$2:$AW$9305,MATCH(B632,'Inventaire M'!$A:$A,0)-1,MATCH("poids",'Inventaire M'!#REF!,0)))</f>
        <v/>
      </c>
      <c r="L632" s="155" t="str">
        <f>IF(B632="-","",IF(ISERROR(INDEX('Inventaire M-1'!$A$2:$AZ$9320,MATCH(B632,'Inventaire M-1'!$A:$A,0)-1,MATCH("poids",'Inventaire M-1'!#REF!,0))),"Buy",INDEX('Inventaire M-1'!$A$2:$AZ$9320,MATCH(B632,'Inventaire M-1'!$A:$A,0)-1,MATCH("poids",'Inventaire M-1'!#REF!,0))))</f>
        <v/>
      </c>
      <c r="M632" s="175"/>
      <c r="N632" s="157" t="str">
        <f t="shared" si="67"/>
        <v>0</v>
      </c>
      <c r="O632" s="98" t="str">
        <f t="shared" si="66"/>
        <v/>
      </c>
      <c r="P632" s="80" t="str">
        <f t="shared" si="68"/>
        <v>-</v>
      </c>
      <c r="Q632" s="75">
        <v>6.0800000000000002E-8</v>
      </c>
      <c r="R632" s="175" t="str">
        <f>IF(OR('Inventaire M-1'!D384="Dispo/Liquidité Investie",'Inventaire M-1'!D384="Option/Future",'Inventaire M-1'!D384="TCN",'Inventaire M-1'!D384=""),"-",'Inventaire M-1'!A384)</f>
        <v>-</v>
      </c>
      <c r="S632" s="175" t="str">
        <f>IF(OR('Inventaire M-1'!D384="Dispo/Liquidité Investie",'Inventaire M-1'!D384="Option/Future",'Inventaire M-1'!D384="TCN",'Inventaire M-1'!D384=""),"-",'Inventaire M-1'!B384)</f>
        <v>-</v>
      </c>
      <c r="T632" s="175"/>
      <c r="U632" s="175" t="str">
        <f>IF(R632="-","",INDEX('Inventaire M-1'!$A$2:$AG$9334,MATCH(R632,'Inventaire M-1'!$A:$A,0)-1,MATCH("Cours EUR",'Inventaire M-1'!#REF!,0)))</f>
        <v/>
      </c>
      <c r="V632" s="175" t="str">
        <f>IF(R632="-","",IF(ISERROR(INDEX('Inventaire M'!$A$2:$AD$9319,MATCH(R632,'Inventaire M'!$A:$A,0)-1,MATCH("Cours EUR",'Inventaire M'!#REF!,0))),"Sell",INDEX('Inventaire M'!$A$2:$AD$9319,MATCH(R632,'Inventaire M'!$A:$A,0)-1,MATCH("Cours EUR",'Inventaire M'!#REF!,0))))</f>
        <v/>
      </c>
      <c r="W632" s="175"/>
      <c r="X632" s="156" t="str">
        <f>IF(R632="-","",INDEX('Inventaire M-1'!$A$2:$AG$9334,MATCH(R632,'Inventaire M-1'!$A:$A,0)-1,MATCH("quantite",'Inventaire M-1'!#REF!,0)))</f>
        <v/>
      </c>
      <c r="Y632" s="156" t="str">
        <f>IF(S632="-","",IF(ISERROR(INDEX('Inventaire M'!$A$2:$AD$9319,MATCH(R632,'Inventaire M'!$A:$A,0)-1,MATCH("quantite",'Inventaire M'!#REF!,0))),"Sell",INDEX('Inventaire M'!$A$2:$AD$9319,MATCH(R632,'Inventaire M'!$A:$A,0)-1,MATCH("quantite",'Inventaire M'!#REF!,0))))</f>
        <v/>
      </c>
      <c r="Z632" s="175"/>
      <c r="AA632" s="155" t="str">
        <f>IF(R632="-","",INDEX('Inventaire M-1'!$A$2:$AG$9334,MATCH(R632,'Inventaire M-1'!$A:$A,0)-1,MATCH("poids",'Inventaire M-1'!#REF!,0)))</f>
        <v/>
      </c>
      <c r="AB632" s="155" t="str">
        <f>IF(R632="-","",IF(ISERROR(INDEX('Inventaire M'!$A$2:$AD$9319,MATCH(R632,'Inventaire M'!$A:$A,0)-1,MATCH("poids",'Inventaire M'!#REF!,0))),"Sell",INDEX('Inventaire M'!$A$2:$AD$9319,MATCH(R632,'Inventaire M'!$A:$A,0)-1,MATCH("poids",'Inventaire M'!#REF!,0))))</f>
        <v/>
      </c>
      <c r="AC632" s="175"/>
      <c r="AD632" s="157" t="str">
        <f t="shared" si="69"/>
        <v>0</v>
      </c>
      <c r="AE632" s="98" t="str">
        <f t="shared" si="70"/>
        <v/>
      </c>
      <c r="AF632" s="80" t="str">
        <f t="shared" si="71"/>
        <v>-</v>
      </c>
    </row>
    <row r="633" spans="2:32" outlineLevel="1">
      <c r="B633" s="175" t="str">
        <f>IF(OR('Inventaire M'!D406="Dispo/Liquidité Investie",'Inventaire M'!D406="Option/Future",'Inventaire M'!D406="TCN",'Inventaire M'!D406=""),"-",'Inventaire M'!A406)</f>
        <v>-</v>
      </c>
      <c r="C633" s="175" t="str">
        <f>IF(OR('Inventaire M'!D406="Dispo/Liquidité Investie",'Inventaire M'!D406="Option/Future",'Inventaire M'!D406="TCN",'Inventaire M'!D406=""),"-",'Inventaire M'!B406)</f>
        <v>-</v>
      </c>
      <c r="D633" s="175"/>
      <c r="E633" s="175" t="str">
        <f>IF(B633="-","",INDEX('Inventaire M'!$A$2:$AW$9305,MATCH(B633,'Inventaire M'!$A:$A,0)-1,MATCH("Cours EUR",'Inventaire M'!#REF!,0)))</f>
        <v/>
      </c>
      <c r="F633" s="175" t="str">
        <f>IF(B633="-","",IF(ISERROR(INDEX('Inventaire M-1'!$A$2:$AZ$9320,MATCH(B633,'Inventaire M-1'!$A:$A,0)-1,MATCH("Cours EUR",'Inventaire M-1'!#REF!,0))),"Buy",INDEX('Inventaire M-1'!$A$2:$AZ$9320,MATCH(B633,'Inventaire M-1'!$A:$A,0)-1,MATCH("Cours EUR",'Inventaire M-1'!#REF!,0))))</f>
        <v/>
      </c>
      <c r="G633" s="175"/>
      <c r="H633" s="156" t="str">
        <f>IF(B633="-","",INDEX('Inventaire M'!$A$2:$AW$9305,MATCH(B633,'Inventaire M'!$A:$A,0)-1,MATCH("quantite",'Inventaire M'!#REF!,0)))</f>
        <v/>
      </c>
      <c r="I633" s="156" t="str">
        <f>IF(C633="-","",IF(ISERROR(INDEX('Inventaire M-1'!$A$2:$AZ$9320,MATCH(B633,'Inventaire M-1'!$A:$A,0)-1,MATCH("quantite",'Inventaire M-1'!#REF!,0))),"Buy",INDEX('Inventaire M-1'!$A$2:$AZ$9320,MATCH(B633,'Inventaire M-1'!$A:$A,0)-1,MATCH("quantite",'Inventaire M-1'!#REF!,0))))</f>
        <v/>
      </c>
      <c r="J633" s="175"/>
      <c r="K633" s="155" t="str">
        <f>IF(B633="-","",INDEX('Inventaire M'!$A$2:$AW$9305,MATCH(B633,'Inventaire M'!$A:$A,0)-1,MATCH("poids",'Inventaire M'!#REF!,0)))</f>
        <v/>
      </c>
      <c r="L633" s="155" t="str">
        <f>IF(B633="-","",IF(ISERROR(INDEX('Inventaire M-1'!$A$2:$AZ$9320,MATCH(B633,'Inventaire M-1'!$A:$A,0)-1,MATCH("poids",'Inventaire M-1'!#REF!,0))),"Buy",INDEX('Inventaire M-1'!$A$2:$AZ$9320,MATCH(B633,'Inventaire M-1'!$A:$A,0)-1,MATCH("poids",'Inventaire M-1'!#REF!,0))))</f>
        <v/>
      </c>
      <c r="M633" s="175"/>
      <c r="N633" s="157" t="str">
        <f t="shared" si="67"/>
        <v>0</v>
      </c>
      <c r="O633" s="98" t="str">
        <f t="shared" si="66"/>
        <v/>
      </c>
      <c r="P633" s="80" t="str">
        <f t="shared" si="68"/>
        <v>-</v>
      </c>
      <c r="Q633" s="75">
        <v>6.0899999999999996E-8</v>
      </c>
      <c r="R633" s="175" t="str">
        <f>IF(OR('Inventaire M-1'!D385="Dispo/Liquidité Investie",'Inventaire M-1'!D385="Option/Future",'Inventaire M-1'!D385="TCN",'Inventaire M-1'!D385=""),"-",'Inventaire M-1'!A385)</f>
        <v>-</v>
      </c>
      <c r="S633" s="175" t="str">
        <f>IF(OR('Inventaire M-1'!D385="Dispo/Liquidité Investie",'Inventaire M-1'!D385="Option/Future",'Inventaire M-1'!D385="TCN",'Inventaire M-1'!D385=""),"-",'Inventaire M-1'!B385)</f>
        <v>-</v>
      </c>
      <c r="T633" s="175"/>
      <c r="U633" s="175" t="str">
        <f>IF(R633="-","",INDEX('Inventaire M-1'!$A$2:$AG$9334,MATCH(R633,'Inventaire M-1'!$A:$A,0)-1,MATCH("Cours EUR",'Inventaire M-1'!#REF!,0)))</f>
        <v/>
      </c>
      <c r="V633" s="175" t="str">
        <f>IF(R633="-","",IF(ISERROR(INDEX('Inventaire M'!$A$2:$AD$9319,MATCH(R633,'Inventaire M'!$A:$A,0)-1,MATCH("Cours EUR",'Inventaire M'!#REF!,0))),"Sell",INDEX('Inventaire M'!$A$2:$AD$9319,MATCH(R633,'Inventaire M'!$A:$A,0)-1,MATCH("Cours EUR",'Inventaire M'!#REF!,0))))</f>
        <v/>
      </c>
      <c r="W633" s="175"/>
      <c r="X633" s="156" t="str">
        <f>IF(R633="-","",INDEX('Inventaire M-1'!$A$2:$AG$9334,MATCH(R633,'Inventaire M-1'!$A:$A,0)-1,MATCH("quantite",'Inventaire M-1'!#REF!,0)))</f>
        <v/>
      </c>
      <c r="Y633" s="156" t="str">
        <f>IF(S633="-","",IF(ISERROR(INDEX('Inventaire M'!$A$2:$AD$9319,MATCH(R633,'Inventaire M'!$A:$A,0)-1,MATCH("quantite",'Inventaire M'!#REF!,0))),"Sell",INDEX('Inventaire M'!$A$2:$AD$9319,MATCH(R633,'Inventaire M'!$A:$A,0)-1,MATCH("quantite",'Inventaire M'!#REF!,0))))</f>
        <v/>
      </c>
      <c r="Z633" s="175"/>
      <c r="AA633" s="155" t="str">
        <f>IF(R633="-","",INDEX('Inventaire M-1'!$A$2:$AG$9334,MATCH(R633,'Inventaire M-1'!$A:$A,0)-1,MATCH("poids",'Inventaire M-1'!#REF!,0)))</f>
        <v/>
      </c>
      <c r="AB633" s="155" t="str">
        <f>IF(R633="-","",IF(ISERROR(INDEX('Inventaire M'!$A$2:$AD$9319,MATCH(R633,'Inventaire M'!$A:$A,0)-1,MATCH("poids",'Inventaire M'!#REF!,0))),"Sell",INDEX('Inventaire M'!$A$2:$AD$9319,MATCH(R633,'Inventaire M'!$A:$A,0)-1,MATCH("poids",'Inventaire M'!#REF!,0))))</f>
        <v/>
      </c>
      <c r="AC633" s="175"/>
      <c r="AD633" s="157" t="str">
        <f t="shared" si="69"/>
        <v>0</v>
      </c>
      <c r="AE633" s="98" t="str">
        <f t="shared" si="70"/>
        <v/>
      </c>
      <c r="AF633" s="80" t="str">
        <f t="shared" si="71"/>
        <v>-</v>
      </c>
    </row>
    <row r="634" spans="2:32" outlineLevel="1">
      <c r="B634" s="175" t="str">
        <f>IF(OR('Inventaire M'!D407="Dispo/Liquidité Investie",'Inventaire M'!D407="Option/Future",'Inventaire M'!D407="TCN",'Inventaire M'!D407=""),"-",'Inventaire M'!A407)</f>
        <v>-</v>
      </c>
      <c r="C634" s="175" t="str">
        <f>IF(OR('Inventaire M'!D407="Dispo/Liquidité Investie",'Inventaire M'!D407="Option/Future",'Inventaire M'!D407="TCN",'Inventaire M'!D407=""),"-",'Inventaire M'!B407)</f>
        <v>-</v>
      </c>
      <c r="D634" s="175"/>
      <c r="E634" s="175" t="str">
        <f>IF(B634="-","",INDEX('Inventaire M'!$A$2:$AW$9305,MATCH(B634,'Inventaire M'!$A:$A,0)-1,MATCH("Cours EUR",'Inventaire M'!#REF!,0)))</f>
        <v/>
      </c>
      <c r="F634" s="175" t="str">
        <f>IF(B634="-","",IF(ISERROR(INDEX('Inventaire M-1'!$A$2:$AZ$9320,MATCH(B634,'Inventaire M-1'!$A:$A,0)-1,MATCH("Cours EUR",'Inventaire M-1'!#REF!,0))),"Buy",INDEX('Inventaire M-1'!$A$2:$AZ$9320,MATCH(B634,'Inventaire M-1'!$A:$A,0)-1,MATCH("Cours EUR",'Inventaire M-1'!#REF!,0))))</f>
        <v/>
      </c>
      <c r="G634" s="175"/>
      <c r="H634" s="156" t="str">
        <f>IF(B634="-","",INDEX('Inventaire M'!$A$2:$AW$9305,MATCH(B634,'Inventaire M'!$A:$A,0)-1,MATCH("quantite",'Inventaire M'!#REF!,0)))</f>
        <v/>
      </c>
      <c r="I634" s="156" t="str">
        <f>IF(C634="-","",IF(ISERROR(INDEX('Inventaire M-1'!$A$2:$AZ$9320,MATCH(B634,'Inventaire M-1'!$A:$A,0)-1,MATCH("quantite",'Inventaire M-1'!#REF!,0))),"Buy",INDEX('Inventaire M-1'!$A$2:$AZ$9320,MATCH(B634,'Inventaire M-1'!$A:$A,0)-1,MATCH("quantite",'Inventaire M-1'!#REF!,0))))</f>
        <v/>
      </c>
      <c r="J634" s="175"/>
      <c r="K634" s="155" t="str">
        <f>IF(B634="-","",INDEX('Inventaire M'!$A$2:$AW$9305,MATCH(B634,'Inventaire M'!$A:$A,0)-1,MATCH("poids",'Inventaire M'!#REF!,0)))</f>
        <v/>
      </c>
      <c r="L634" s="155" t="str">
        <f>IF(B634="-","",IF(ISERROR(INDEX('Inventaire M-1'!$A$2:$AZ$9320,MATCH(B634,'Inventaire M-1'!$A:$A,0)-1,MATCH("poids",'Inventaire M-1'!#REF!,0))),"Buy",INDEX('Inventaire M-1'!$A$2:$AZ$9320,MATCH(B634,'Inventaire M-1'!$A:$A,0)-1,MATCH("poids",'Inventaire M-1'!#REF!,0))))</f>
        <v/>
      </c>
      <c r="M634" s="175"/>
      <c r="N634" s="157" t="str">
        <f t="shared" si="67"/>
        <v>0</v>
      </c>
      <c r="O634" s="98" t="str">
        <f t="shared" si="66"/>
        <v/>
      </c>
      <c r="P634" s="80" t="str">
        <f t="shared" si="68"/>
        <v>-</v>
      </c>
      <c r="Q634" s="75">
        <v>6.1000000000000004E-8</v>
      </c>
      <c r="R634" s="175" t="str">
        <f>IF(OR('Inventaire M-1'!D386="Dispo/Liquidité Investie",'Inventaire M-1'!D386="Option/Future",'Inventaire M-1'!D386="TCN",'Inventaire M-1'!D386=""),"-",'Inventaire M-1'!A386)</f>
        <v>-</v>
      </c>
      <c r="S634" s="175" t="str">
        <f>IF(OR('Inventaire M-1'!D386="Dispo/Liquidité Investie",'Inventaire M-1'!D386="Option/Future",'Inventaire M-1'!D386="TCN",'Inventaire M-1'!D386=""),"-",'Inventaire M-1'!B386)</f>
        <v>-</v>
      </c>
      <c r="T634" s="175"/>
      <c r="U634" s="175" t="str">
        <f>IF(R634="-","",INDEX('Inventaire M-1'!$A$2:$AG$9334,MATCH(R634,'Inventaire M-1'!$A:$A,0)-1,MATCH("Cours EUR",'Inventaire M-1'!#REF!,0)))</f>
        <v/>
      </c>
      <c r="V634" s="175" t="str">
        <f>IF(R634="-","",IF(ISERROR(INDEX('Inventaire M'!$A$2:$AD$9319,MATCH(R634,'Inventaire M'!$A:$A,0)-1,MATCH("Cours EUR",'Inventaire M'!#REF!,0))),"Sell",INDEX('Inventaire M'!$A$2:$AD$9319,MATCH(R634,'Inventaire M'!$A:$A,0)-1,MATCH("Cours EUR",'Inventaire M'!#REF!,0))))</f>
        <v/>
      </c>
      <c r="W634" s="175"/>
      <c r="X634" s="156" t="str">
        <f>IF(R634="-","",INDEX('Inventaire M-1'!$A$2:$AG$9334,MATCH(R634,'Inventaire M-1'!$A:$A,0)-1,MATCH("quantite",'Inventaire M-1'!#REF!,0)))</f>
        <v/>
      </c>
      <c r="Y634" s="156" t="str">
        <f>IF(S634="-","",IF(ISERROR(INDEX('Inventaire M'!$A$2:$AD$9319,MATCH(R634,'Inventaire M'!$A:$A,0)-1,MATCH("quantite",'Inventaire M'!#REF!,0))),"Sell",INDEX('Inventaire M'!$A$2:$AD$9319,MATCH(R634,'Inventaire M'!$A:$A,0)-1,MATCH("quantite",'Inventaire M'!#REF!,0))))</f>
        <v/>
      </c>
      <c r="Z634" s="175"/>
      <c r="AA634" s="155" t="str">
        <f>IF(R634="-","",INDEX('Inventaire M-1'!$A$2:$AG$9334,MATCH(R634,'Inventaire M-1'!$A:$A,0)-1,MATCH("poids",'Inventaire M-1'!#REF!,0)))</f>
        <v/>
      </c>
      <c r="AB634" s="155" t="str">
        <f>IF(R634="-","",IF(ISERROR(INDEX('Inventaire M'!$A$2:$AD$9319,MATCH(R634,'Inventaire M'!$A:$A,0)-1,MATCH("poids",'Inventaire M'!#REF!,0))),"Sell",INDEX('Inventaire M'!$A$2:$AD$9319,MATCH(R634,'Inventaire M'!$A:$A,0)-1,MATCH("poids",'Inventaire M'!#REF!,0))))</f>
        <v/>
      </c>
      <c r="AC634" s="175"/>
      <c r="AD634" s="157" t="str">
        <f t="shared" si="69"/>
        <v>0</v>
      </c>
      <c r="AE634" s="98" t="str">
        <f t="shared" si="70"/>
        <v/>
      </c>
      <c r="AF634" s="80" t="str">
        <f t="shared" si="71"/>
        <v>-</v>
      </c>
    </row>
    <row r="635" spans="2:32" outlineLevel="1">
      <c r="B635" s="175" t="str">
        <f>IF(OR('Inventaire M'!D408="Dispo/Liquidité Investie",'Inventaire M'!D408="Option/Future",'Inventaire M'!D408="TCN",'Inventaire M'!D408=""),"-",'Inventaire M'!A408)</f>
        <v>-</v>
      </c>
      <c r="C635" s="175" t="str">
        <f>IF(OR('Inventaire M'!D408="Dispo/Liquidité Investie",'Inventaire M'!D408="Option/Future",'Inventaire M'!D408="TCN",'Inventaire M'!D408=""),"-",'Inventaire M'!B408)</f>
        <v>-</v>
      </c>
      <c r="D635" s="175"/>
      <c r="E635" s="175" t="str">
        <f>IF(B635="-","",INDEX('Inventaire M'!$A$2:$AW$9305,MATCH(B635,'Inventaire M'!$A:$A,0)-1,MATCH("Cours EUR",'Inventaire M'!#REF!,0)))</f>
        <v/>
      </c>
      <c r="F635" s="175" t="str">
        <f>IF(B635="-","",IF(ISERROR(INDEX('Inventaire M-1'!$A$2:$AZ$9320,MATCH(B635,'Inventaire M-1'!$A:$A,0)-1,MATCH("Cours EUR",'Inventaire M-1'!#REF!,0))),"Buy",INDEX('Inventaire M-1'!$A$2:$AZ$9320,MATCH(B635,'Inventaire M-1'!$A:$A,0)-1,MATCH("Cours EUR",'Inventaire M-1'!#REF!,0))))</f>
        <v/>
      </c>
      <c r="G635" s="175"/>
      <c r="H635" s="156" t="str">
        <f>IF(B635="-","",INDEX('Inventaire M'!$A$2:$AW$9305,MATCH(B635,'Inventaire M'!$A:$A,0)-1,MATCH("quantite",'Inventaire M'!#REF!,0)))</f>
        <v/>
      </c>
      <c r="I635" s="156" t="str">
        <f>IF(C635="-","",IF(ISERROR(INDEX('Inventaire M-1'!$A$2:$AZ$9320,MATCH(B635,'Inventaire M-1'!$A:$A,0)-1,MATCH("quantite",'Inventaire M-1'!#REF!,0))),"Buy",INDEX('Inventaire M-1'!$A$2:$AZ$9320,MATCH(B635,'Inventaire M-1'!$A:$A,0)-1,MATCH("quantite",'Inventaire M-1'!#REF!,0))))</f>
        <v/>
      </c>
      <c r="J635" s="175"/>
      <c r="K635" s="155" t="str">
        <f>IF(B635="-","",INDEX('Inventaire M'!$A$2:$AW$9305,MATCH(B635,'Inventaire M'!$A:$A,0)-1,MATCH("poids",'Inventaire M'!#REF!,0)))</f>
        <v/>
      </c>
      <c r="L635" s="155" t="str">
        <f>IF(B635="-","",IF(ISERROR(INDEX('Inventaire M-1'!$A$2:$AZ$9320,MATCH(B635,'Inventaire M-1'!$A:$A,0)-1,MATCH("poids",'Inventaire M-1'!#REF!,0))),"Buy",INDEX('Inventaire M-1'!$A$2:$AZ$9320,MATCH(B635,'Inventaire M-1'!$A:$A,0)-1,MATCH("poids",'Inventaire M-1'!#REF!,0))))</f>
        <v/>
      </c>
      <c r="M635" s="175"/>
      <c r="N635" s="157" t="str">
        <f t="shared" si="67"/>
        <v>0</v>
      </c>
      <c r="O635" s="98" t="str">
        <f t="shared" si="66"/>
        <v/>
      </c>
      <c r="P635" s="80" t="str">
        <f t="shared" si="68"/>
        <v>-</v>
      </c>
      <c r="Q635" s="75">
        <v>6.1099999999999998E-8</v>
      </c>
      <c r="R635" s="175" t="str">
        <f>IF(OR('Inventaire M-1'!D387="Dispo/Liquidité Investie",'Inventaire M-1'!D387="Option/Future",'Inventaire M-1'!D387="TCN",'Inventaire M-1'!D387=""),"-",'Inventaire M-1'!A387)</f>
        <v>-</v>
      </c>
      <c r="S635" s="175" t="str">
        <f>IF(OR('Inventaire M-1'!D387="Dispo/Liquidité Investie",'Inventaire M-1'!D387="Option/Future",'Inventaire M-1'!D387="TCN",'Inventaire M-1'!D387=""),"-",'Inventaire M-1'!B387)</f>
        <v>-</v>
      </c>
      <c r="T635" s="175"/>
      <c r="U635" s="175" t="str">
        <f>IF(R635="-","",INDEX('Inventaire M-1'!$A$2:$AG$9334,MATCH(R635,'Inventaire M-1'!$A:$A,0)-1,MATCH("Cours EUR",'Inventaire M-1'!#REF!,0)))</f>
        <v/>
      </c>
      <c r="V635" s="175" t="str">
        <f>IF(R635="-","",IF(ISERROR(INDEX('Inventaire M'!$A$2:$AD$9319,MATCH(R635,'Inventaire M'!$A:$A,0)-1,MATCH("Cours EUR",'Inventaire M'!#REF!,0))),"Sell",INDEX('Inventaire M'!$A$2:$AD$9319,MATCH(R635,'Inventaire M'!$A:$A,0)-1,MATCH("Cours EUR",'Inventaire M'!#REF!,0))))</f>
        <v/>
      </c>
      <c r="W635" s="175"/>
      <c r="X635" s="156" t="str">
        <f>IF(R635="-","",INDEX('Inventaire M-1'!$A$2:$AG$9334,MATCH(R635,'Inventaire M-1'!$A:$A,0)-1,MATCH("quantite",'Inventaire M-1'!#REF!,0)))</f>
        <v/>
      </c>
      <c r="Y635" s="156" t="str">
        <f>IF(S635="-","",IF(ISERROR(INDEX('Inventaire M'!$A$2:$AD$9319,MATCH(R635,'Inventaire M'!$A:$A,0)-1,MATCH("quantite",'Inventaire M'!#REF!,0))),"Sell",INDEX('Inventaire M'!$A$2:$AD$9319,MATCH(R635,'Inventaire M'!$A:$A,0)-1,MATCH("quantite",'Inventaire M'!#REF!,0))))</f>
        <v/>
      </c>
      <c r="Z635" s="175"/>
      <c r="AA635" s="155" t="str">
        <f>IF(R635="-","",INDEX('Inventaire M-1'!$A$2:$AG$9334,MATCH(R635,'Inventaire M-1'!$A:$A,0)-1,MATCH("poids",'Inventaire M-1'!#REF!,0)))</f>
        <v/>
      </c>
      <c r="AB635" s="155" t="str">
        <f>IF(R635="-","",IF(ISERROR(INDEX('Inventaire M'!$A$2:$AD$9319,MATCH(R635,'Inventaire M'!$A:$A,0)-1,MATCH("poids",'Inventaire M'!#REF!,0))),"Sell",INDEX('Inventaire M'!$A$2:$AD$9319,MATCH(R635,'Inventaire M'!$A:$A,0)-1,MATCH("poids",'Inventaire M'!#REF!,0))))</f>
        <v/>
      </c>
      <c r="AC635" s="175"/>
      <c r="AD635" s="157" t="str">
        <f t="shared" si="69"/>
        <v>0</v>
      </c>
      <c r="AE635" s="98" t="str">
        <f t="shared" si="70"/>
        <v/>
      </c>
      <c r="AF635" s="80" t="str">
        <f t="shared" si="71"/>
        <v>-</v>
      </c>
    </row>
    <row r="636" spans="2:32" outlineLevel="1">
      <c r="B636" s="175" t="str">
        <f>IF(OR('Inventaire M'!D409="Dispo/Liquidité Investie",'Inventaire M'!D409="Option/Future",'Inventaire M'!D409="TCN",'Inventaire M'!D409=""),"-",'Inventaire M'!A409)</f>
        <v>-</v>
      </c>
      <c r="C636" s="175" t="str">
        <f>IF(OR('Inventaire M'!D409="Dispo/Liquidité Investie",'Inventaire M'!D409="Option/Future",'Inventaire M'!D409="TCN",'Inventaire M'!D409=""),"-",'Inventaire M'!B409)</f>
        <v>-</v>
      </c>
      <c r="D636" s="175"/>
      <c r="E636" s="175" t="str">
        <f>IF(B636="-","",INDEX('Inventaire M'!$A$2:$AW$9305,MATCH(B636,'Inventaire M'!$A:$A,0)-1,MATCH("Cours EUR",'Inventaire M'!#REF!,0)))</f>
        <v/>
      </c>
      <c r="F636" s="175" t="str">
        <f>IF(B636="-","",IF(ISERROR(INDEX('Inventaire M-1'!$A$2:$AZ$9320,MATCH(B636,'Inventaire M-1'!$A:$A,0)-1,MATCH("Cours EUR",'Inventaire M-1'!#REF!,0))),"Buy",INDEX('Inventaire M-1'!$A$2:$AZ$9320,MATCH(B636,'Inventaire M-1'!$A:$A,0)-1,MATCH("Cours EUR",'Inventaire M-1'!#REF!,0))))</f>
        <v/>
      </c>
      <c r="G636" s="175"/>
      <c r="H636" s="156" t="str">
        <f>IF(B636="-","",INDEX('Inventaire M'!$A$2:$AW$9305,MATCH(B636,'Inventaire M'!$A:$A,0)-1,MATCH("quantite",'Inventaire M'!#REF!,0)))</f>
        <v/>
      </c>
      <c r="I636" s="156" t="str">
        <f>IF(C636="-","",IF(ISERROR(INDEX('Inventaire M-1'!$A$2:$AZ$9320,MATCH(B636,'Inventaire M-1'!$A:$A,0)-1,MATCH("quantite",'Inventaire M-1'!#REF!,0))),"Buy",INDEX('Inventaire M-1'!$A$2:$AZ$9320,MATCH(B636,'Inventaire M-1'!$A:$A,0)-1,MATCH("quantite",'Inventaire M-1'!#REF!,0))))</f>
        <v/>
      </c>
      <c r="J636" s="175"/>
      <c r="K636" s="155" t="str">
        <f>IF(B636="-","",INDEX('Inventaire M'!$A$2:$AW$9305,MATCH(B636,'Inventaire M'!$A:$A,0)-1,MATCH("poids",'Inventaire M'!#REF!,0)))</f>
        <v/>
      </c>
      <c r="L636" s="155" t="str">
        <f>IF(B636="-","",IF(ISERROR(INDEX('Inventaire M-1'!$A$2:$AZ$9320,MATCH(B636,'Inventaire M-1'!$A:$A,0)-1,MATCH("poids",'Inventaire M-1'!#REF!,0))),"Buy",INDEX('Inventaire M-1'!$A$2:$AZ$9320,MATCH(B636,'Inventaire M-1'!$A:$A,0)-1,MATCH("poids",'Inventaire M-1'!#REF!,0))))</f>
        <v/>
      </c>
      <c r="M636" s="175"/>
      <c r="N636" s="157" t="str">
        <f t="shared" si="67"/>
        <v>0</v>
      </c>
      <c r="O636" s="98" t="str">
        <f t="shared" si="66"/>
        <v/>
      </c>
      <c r="P636" s="80" t="str">
        <f t="shared" si="68"/>
        <v>-</v>
      </c>
      <c r="Q636" s="75">
        <v>6.1200000000000005E-8</v>
      </c>
      <c r="R636" s="175" t="str">
        <f>IF(OR('Inventaire M-1'!D388="Dispo/Liquidité Investie",'Inventaire M-1'!D388="Option/Future",'Inventaire M-1'!D388="TCN",'Inventaire M-1'!D388=""),"-",'Inventaire M-1'!A388)</f>
        <v>-</v>
      </c>
      <c r="S636" s="175" t="str">
        <f>IF(OR('Inventaire M-1'!D388="Dispo/Liquidité Investie",'Inventaire M-1'!D388="Option/Future",'Inventaire M-1'!D388="TCN",'Inventaire M-1'!D388=""),"-",'Inventaire M-1'!B388)</f>
        <v>-</v>
      </c>
      <c r="T636" s="175"/>
      <c r="U636" s="175" t="str">
        <f>IF(R636="-","",INDEX('Inventaire M-1'!$A$2:$AG$9334,MATCH(R636,'Inventaire M-1'!$A:$A,0)-1,MATCH("Cours EUR",'Inventaire M-1'!#REF!,0)))</f>
        <v/>
      </c>
      <c r="V636" s="175" t="str">
        <f>IF(R636="-","",IF(ISERROR(INDEX('Inventaire M'!$A$2:$AD$9319,MATCH(R636,'Inventaire M'!$A:$A,0)-1,MATCH("Cours EUR",'Inventaire M'!#REF!,0))),"Sell",INDEX('Inventaire M'!$A$2:$AD$9319,MATCH(R636,'Inventaire M'!$A:$A,0)-1,MATCH("Cours EUR",'Inventaire M'!#REF!,0))))</f>
        <v/>
      </c>
      <c r="W636" s="175"/>
      <c r="X636" s="156" t="str">
        <f>IF(R636="-","",INDEX('Inventaire M-1'!$A$2:$AG$9334,MATCH(R636,'Inventaire M-1'!$A:$A,0)-1,MATCH("quantite",'Inventaire M-1'!#REF!,0)))</f>
        <v/>
      </c>
      <c r="Y636" s="156" t="str">
        <f>IF(S636="-","",IF(ISERROR(INDEX('Inventaire M'!$A$2:$AD$9319,MATCH(R636,'Inventaire M'!$A:$A,0)-1,MATCH("quantite",'Inventaire M'!#REF!,0))),"Sell",INDEX('Inventaire M'!$A$2:$AD$9319,MATCH(R636,'Inventaire M'!$A:$A,0)-1,MATCH("quantite",'Inventaire M'!#REF!,0))))</f>
        <v/>
      </c>
      <c r="Z636" s="175"/>
      <c r="AA636" s="155" t="str">
        <f>IF(R636="-","",INDEX('Inventaire M-1'!$A$2:$AG$9334,MATCH(R636,'Inventaire M-1'!$A:$A,0)-1,MATCH("poids",'Inventaire M-1'!#REF!,0)))</f>
        <v/>
      </c>
      <c r="AB636" s="155" t="str">
        <f>IF(R636="-","",IF(ISERROR(INDEX('Inventaire M'!$A$2:$AD$9319,MATCH(R636,'Inventaire M'!$A:$A,0)-1,MATCH("poids",'Inventaire M'!#REF!,0))),"Sell",INDEX('Inventaire M'!$A$2:$AD$9319,MATCH(R636,'Inventaire M'!$A:$A,0)-1,MATCH("poids",'Inventaire M'!#REF!,0))))</f>
        <v/>
      </c>
      <c r="AC636" s="175"/>
      <c r="AD636" s="157" t="str">
        <f t="shared" si="69"/>
        <v>0</v>
      </c>
      <c r="AE636" s="98" t="str">
        <f t="shared" si="70"/>
        <v/>
      </c>
      <c r="AF636" s="80" t="str">
        <f t="shared" si="71"/>
        <v>-</v>
      </c>
    </row>
    <row r="637" spans="2:32" outlineLevel="1">
      <c r="B637" s="175" t="str">
        <f>IF(OR('Inventaire M'!D410="Dispo/Liquidité Investie",'Inventaire M'!D410="Option/Future",'Inventaire M'!D410="TCN",'Inventaire M'!D410=""),"-",'Inventaire M'!A410)</f>
        <v>-</v>
      </c>
      <c r="C637" s="175" t="str">
        <f>IF(OR('Inventaire M'!D410="Dispo/Liquidité Investie",'Inventaire M'!D410="Option/Future",'Inventaire M'!D410="TCN",'Inventaire M'!D410=""),"-",'Inventaire M'!B410)</f>
        <v>-</v>
      </c>
      <c r="D637" s="175"/>
      <c r="E637" s="175" t="str">
        <f>IF(B637="-","",INDEX('Inventaire M'!$A$2:$AW$9305,MATCH(B637,'Inventaire M'!$A:$A,0)-1,MATCH("Cours EUR",'Inventaire M'!#REF!,0)))</f>
        <v/>
      </c>
      <c r="F637" s="175" t="str">
        <f>IF(B637="-","",IF(ISERROR(INDEX('Inventaire M-1'!$A$2:$AZ$9320,MATCH(B637,'Inventaire M-1'!$A:$A,0)-1,MATCH("Cours EUR",'Inventaire M-1'!#REF!,0))),"Buy",INDEX('Inventaire M-1'!$A$2:$AZ$9320,MATCH(B637,'Inventaire M-1'!$A:$A,0)-1,MATCH("Cours EUR",'Inventaire M-1'!#REF!,0))))</f>
        <v/>
      </c>
      <c r="G637" s="175"/>
      <c r="H637" s="156" t="str">
        <f>IF(B637="-","",INDEX('Inventaire M'!$A$2:$AW$9305,MATCH(B637,'Inventaire M'!$A:$A,0)-1,MATCH("quantite",'Inventaire M'!#REF!,0)))</f>
        <v/>
      </c>
      <c r="I637" s="156" t="str">
        <f>IF(C637="-","",IF(ISERROR(INDEX('Inventaire M-1'!$A$2:$AZ$9320,MATCH(B637,'Inventaire M-1'!$A:$A,0)-1,MATCH("quantite",'Inventaire M-1'!#REF!,0))),"Buy",INDEX('Inventaire M-1'!$A$2:$AZ$9320,MATCH(B637,'Inventaire M-1'!$A:$A,0)-1,MATCH("quantite",'Inventaire M-1'!#REF!,0))))</f>
        <v/>
      </c>
      <c r="J637" s="175"/>
      <c r="K637" s="155" t="str">
        <f>IF(B637="-","",INDEX('Inventaire M'!$A$2:$AW$9305,MATCH(B637,'Inventaire M'!$A:$A,0)-1,MATCH("poids",'Inventaire M'!#REF!,0)))</f>
        <v/>
      </c>
      <c r="L637" s="155" t="str">
        <f>IF(B637="-","",IF(ISERROR(INDEX('Inventaire M-1'!$A$2:$AZ$9320,MATCH(B637,'Inventaire M-1'!$A:$A,0)-1,MATCH("poids",'Inventaire M-1'!#REF!,0))),"Buy",INDEX('Inventaire M-1'!$A$2:$AZ$9320,MATCH(B637,'Inventaire M-1'!$A:$A,0)-1,MATCH("poids",'Inventaire M-1'!#REF!,0))))</f>
        <v/>
      </c>
      <c r="M637" s="175"/>
      <c r="N637" s="157" t="str">
        <f t="shared" si="67"/>
        <v>0</v>
      </c>
      <c r="O637" s="98" t="str">
        <f t="shared" si="66"/>
        <v/>
      </c>
      <c r="P637" s="80" t="str">
        <f t="shared" si="68"/>
        <v>-</v>
      </c>
      <c r="Q637" s="75">
        <v>6.13E-8</v>
      </c>
      <c r="R637" s="175" t="str">
        <f>IF(OR('Inventaire M-1'!D389="Dispo/Liquidité Investie",'Inventaire M-1'!D389="Option/Future",'Inventaire M-1'!D389="TCN",'Inventaire M-1'!D389=""),"-",'Inventaire M-1'!A389)</f>
        <v>-</v>
      </c>
      <c r="S637" s="175" t="str">
        <f>IF(OR('Inventaire M-1'!D389="Dispo/Liquidité Investie",'Inventaire M-1'!D389="Option/Future",'Inventaire M-1'!D389="TCN",'Inventaire M-1'!D389=""),"-",'Inventaire M-1'!B389)</f>
        <v>-</v>
      </c>
      <c r="T637" s="175"/>
      <c r="U637" s="175" t="str">
        <f>IF(R637="-","",INDEX('Inventaire M-1'!$A$2:$AG$9334,MATCH(R637,'Inventaire M-1'!$A:$A,0)-1,MATCH("Cours EUR",'Inventaire M-1'!#REF!,0)))</f>
        <v/>
      </c>
      <c r="V637" s="175" t="str">
        <f>IF(R637="-","",IF(ISERROR(INDEX('Inventaire M'!$A$2:$AD$9319,MATCH(R637,'Inventaire M'!$A:$A,0)-1,MATCH("Cours EUR",'Inventaire M'!#REF!,0))),"Sell",INDEX('Inventaire M'!$A$2:$AD$9319,MATCH(R637,'Inventaire M'!$A:$A,0)-1,MATCH("Cours EUR",'Inventaire M'!#REF!,0))))</f>
        <v/>
      </c>
      <c r="W637" s="175"/>
      <c r="X637" s="156" t="str">
        <f>IF(R637="-","",INDEX('Inventaire M-1'!$A$2:$AG$9334,MATCH(R637,'Inventaire M-1'!$A:$A,0)-1,MATCH("quantite",'Inventaire M-1'!#REF!,0)))</f>
        <v/>
      </c>
      <c r="Y637" s="156" t="str">
        <f>IF(S637="-","",IF(ISERROR(INDEX('Inventaire M'!$A$2:$AD$9319,MATCH(R637,'Inventaire M'!$A:$A,0)-1,MATCH("quantite",'Inventaire M'!#REF!,0))),"Sell",INDEX('Inventaire M'!$A$2:$AD$9319,MATCH(R637,'Inventaire M'!$A:$A,0)-1,MATCH("quantite",'Inventaire M'!#REF!,0))))</f>
        <v/>
      </c>
      <c r="Z637" s="175"/>
      <c r="AA637" s="155" t="str">
        <f>IF(R637="-","",INDEX('Inventaire M-1'!$A$2:$AG$9334,MATCH(R637,'Inventaire M-1'!$A:$A,0)-1,MATCH("poids",'Inventaire M-1'!#REF!,0)))</f>
        <v/>
      </c>
      <c r="AB637" s="155" t="str">
        <f>IF(R637="-","",IF(ISERROR(INDEX('Inventaire M'!$A$2:$AD$9319,MATCH(R637,'Inventaire M'!$A:$A,0)-1,MATCH("poids",'Inventaire M'!#REF!,0))),"Sell",INDEX('Inventaire M'!$A$2:$AD$9319,MATCH(R637,'Inventaire M'!$A:$A,0)-1,MATCH("poids",'Inventaire M'!#REF!,0))))</f>
        <v/>
      </c>
      <c r="AC637" s="175"/>
      <c r="AD637" s="157" t="str">
        <f t="shared" si="69"/>
        <v>0</v>
      </c>
      <c r="AE637" s="98" t="str">
        <f t="shared" si="70"/>
        <v/>
      </c>
      <c r="AF637" s="80" t="str">
        <f t="shared" si="71"/>
        <v>-</v>
      </c>
    </row>
    <row r="638" spans="2:32" outlineLevel="1">
      <c r="B638" s="175" t="str">
        <f>IF(OR('Inventaire M'!D411="Dispo/Liquidité Investie",'Inventaire M'!D411="Option/Future",'Inventaire M'!D411="TCN",'Inventaire M'!D411=""),"-",'Inventaire M'!A411)</f>
        <v>-</v>
      </c>
      <c r="C638" s="175" t="str">
        <f>IF(OR('Inventaire M'!D411="Dispo/Liquidité Investie",'Inventaire M'!D411="Option/Future",'Inventaire M'!D411="TCN",'Inventaire M'!D411=""),"-",'Inventaire M'!B411)</f>
        <v>-</v>
      </c>
      <c r="D638" s="175"/>
      <c r="E638" s="175" t="str">
        <f>IF(B638="-","",INDEX('Inventaire M'!$A$2:$AW$9305,MATCH(B638,'Inventaire M'!$A:$A,0)-1,MATCH("Cours EUR",'Inventaire M'!#REF!,0)))</f>
        <v/>
      </c>
      <c r="F638" s="175" t="str">
        <f>IF(B638="-","",IF(ISERROR(INDEX('Inventaire M-1'!$A$2:$AZ$9320,MATCH(B638,'Inventaire M-1'!$A:$A,0)-1,MATCH("Cours EUR",'Inventaire M-1'!#REF!,0))),"Buy",INDEX('Inventaire M-1'!$A$2:$AZ$9320,MATCH(B638,'Inventaire M-1'!$A:$A,0)-1,MATCH("Cours EUR",'Inventaire M-1'!#REF!,0))))</f>
        <v/>
      </c>
      <c r="G638" s="175"/>
      <c r="H638" s="156" t="str">
        <f>IF(B638="-","",INDEX('Inventaire M'!$A$2:$AW$9305,MATCH(B638,'Inventaire M'!$A:$A,0)-1,MATCH("quantite",'Inventaire M'!#REF!,0)))</f>
        <v/>
      </c>
      <c r="I638" s="156" t="str">
        <f>IF(C638="-","",IF(ISERROR(INDEX('Inventaire M-1'!$A$2:$AZ$9320,MATCH(B638,'Inventaire M-1'!$A:$A,0)-1,MATCH("quantite",'Inventaire M-1'!#REF!,0))),"Buy",INDEX('Inventaire M-1'!$A$2:$AZ$9320,MATCH(B638,'Inventaire M-1'!$A:$A,0)-1,MATCH("quantite",'Inventaire M-1'!#REF!,0))))</f>
        <v/>
      </c>
      <c r="J638" s="175"/>
      <c r="K638" s="155" t="str">
        <f>IF(B638="-","",INDEX('Inventaire M'!$A$2:$AW$9305,MATCH(B638,'Inventaire M'!$A:$A,0)-1,MATCH("poids",'Inventaire M'!#REF!,0)))</f>
        <v/>
      </c>
      <c r="L638" s="155" t="str">
        <f>IF(B638="-","",IF(ISERROR(INDEX('Inventaire M-1'!$A$2:$AZ$9320,MATCH(B638,'Inventaire M-1'!$A:$A,0)-1,MATCH("poids",'Inventaire M-1'!#REF!,0))),"Buy",INDEX('Inventaire M-1'!$A$2:$AZ$9320,MATCH(B638,'Inventaire M-1'!$A:$A,0)-1,MATCH("poids",'Inventaire M-1'!#REF!,0))))</f>
        <v/>
      </c>
      <c r="M638" s="175"/>
      <c r="N638" s="157" t="str">
        <f t="shared" si="67"/>
        <v>0</v>
      </c>
      <c r="O638" s="98" t="str">
        <f t="shared" si="66"/>
        <v/>
      </c>
      <c r="P638" s="80" t="str">
        <f t="shared" si="68"/>
        <v>-</v>
      </c>
      <c r="Q638" s="75">
        <v>6.1399999999999994E-8</v>
      </c>
      <c r="R638" s="175" t="str">
        <f>IF(OR('Inventaire M-1'!D390="Dispo/Liquidité Investie",'Inventaire M-1'!D390="Option/Future",'Inventaire M-1'!D390="TCN",'Inventaire M-1'!D390=""),"-",'Inventaire M-1'!A390)</f>
        <v>-</v>
      </c>
      <c r="S638" s="175" t="str">
        <f>IF(OR('Inventaire M-1'!D390="Dispo/Liquidité Investie",'Inventaire M-1'!D390="Option/Future",'Inventaire M-1'!D390="TCN",'Inventaire M-1'!D390=""),"-",'Inventaire M-1'!B390)</f>
        <v>-</v>
      </c>
      <c r="T638" s="175"/>
      <c r="U638" s="175" t="str">
        <f>IF(R638="-","",INDEX('Inventaire M-1'!$A$2:$AG$9334,MATCH(R638,'Inventaire M-1'!$A:$A,0)-1,MATCH("Cours EUR",'Inventaire M-1'!#REF!,0)))</f>
        <v/>
      </c>
      <c r="V638" s="175" t="str">
        <f>IF(R638="-","",IF(ISERROR(INDEX('Inventaire M'!$A$2:$AD$9319,MATCH(R638,'Inventaire M'!$A:$A,0)-1,MATCH("Cours EUR",'Inventaire M'!#REF!,0))),"Sell",INDEX('Inventaire M'!$A$2:$AD$9319,MATCH(R638,'Inventaire M'!$A:$A,0)-1,MATCH("Cours EUR",'Inventaire M'!#REF!,0))))</f>
        <v/>
      </c>
      <c r="W638" s="175"/>
      <c r="X638" s="156" t="str">
        <f>IF(R638="-","",INDEX('Inventaire M-1'!$A$2:$AG$9334,MATCH(R638,'Inventaire M-1'!$A:$A,0)-1,MATCH("quantite",'Inventaire M-1'!#REF!,0)))</f>
        <v/>
      </c>
      <c r="Y638" s="156" t="str">
        <f>IF(S638="-","",IF(ISERROR(INDEX('Inventaire M'!$A$2:$AD$9319,MATCH(R638,'Inventaire M'!$A:$A,0)-1,MATCH("quantite",'Inventaire M'!#REF!,0))),"Sell",INDEX('Inventaire M'!$A$2:$AD$9319,MATCH(R638,'Inventaire M'!$A:$A,0)-1,MATCH("quantite",'Inventaire M'!#REF!,0))))</f>
        <v/>
      </c>
      <c r="Z638" s="175"/>
      <c r="AA638" s="155" t="str">
        <f>IF(R638="-","",INDEX('Inventaire M-1'!$A$2:$AG$9334,MATCH(R638,'Inventaire M-1'!$A:$A,0)-1,MATCH("poids",'Inventaire M-1'!#REF!,0)))</f>
        <v/>
      </c>
      <c r="AB638" s="155" t="str">
        <f>IF(R638="-","",IF(ISERROR(INDEX('Inventaire M'!$A$2:$AD$9319,MATCH(R638,'Inventaire M'!$A:$A,0)-1,MATCH("poids",'Inventaire M'!#REF!,0))),"Sell",INDEX('Inventaire M'!$A$2:$AD$9319,MATCH(R638,'Inventaire M'!$A:$A,0)-1,MATCH("poids",'Inventaire M'!#REF!,0))))</f>
        <v/>
      </c>
      <c r="AC638" s="175"/>
      <c r="AD638" s="157" t="str">
        <f t="shared" si="69"/>
        <v>0</v>
      </c>
      <c r="AE638" s="98" t="str">
        <f t="shared" si="70"/>
        <v/>
      </c>
      <c r="AF638" s="80" t="str">
        <f t="shared" si="71"/>
        <v>-</v>
      </c>
    </row>
    <row r="639" spans="2:32" outlineLevel="1">
      <c r="B639" s="175" t="str">
        <f>IF(OR('Inventaire M'!D412="Dispo/Liquidité Investie",'Inventaire M'!D412="Option/Future",'Inventaire M'!D412="TCN",'Inventaire M'!D412=""),"-",'Inventaire M'!A412)</f>
        <v>-</v>
      </c>
      <c r="C639" s="175" t="str">
        <f>IF(OR('Inventaire M'!D412="Dispo/Liquidité Investie",'Inventaire M'!D412="Option/Future",'Inventaire M'!D412="TCN",'Inventaire M'!D412=""),"-",'Inventaire M'!B412)</f>
        <v>-</v>
      </c>
      <c r="D639" s="175"/>
      <c r="E639" s="175" t="str">
        <f>IF(B639="-","",INDEX('Inventaire M'!$A$2:$AW$9305,MATCH(B639,'Inventaire M'!$A:$A,0)-1,MATCH("Cours EUR",'Inventaire M'!#REF!,0)))</f>
        <v/>
      </c>
      <c r="F639" s="175" t="str">
        <f>IF(B639="-","",IF(ISERROR(INDEX('Inventaire M-1'!$A$2:$AZ$9320,MATCH(B639,'Inventaire M-1'!$A:$A,0)-1,MATCH("Cours EUR",'Inventaire M-1'!#REF!,0))),"Buy",INDEX('Inventaire M-1'!$A$2:$AZ$9320,MATCH(B639,'Inventaire M-1'!$A:$A,0)-1,MATCH("Cours EUR",'Inventaire M-1'!#REF!,0))))</f>
        <v/>
      </c>
      <c r="G639" s="175"/>
      <c r="H639" s="156" t="str">
        <f>IF(B639="-","",INDEX('Inventaire M'!$A$2:$AW$9305,MATCH(B639,'Inventaire M'!$A:$A,0)-1,MATCH("quantite",'Inventaire M'!#REF!,0)))</f>
        <v/>
      </c>
      <c r="I639" s="156" t="str">
        <f>IF(C639="-","",IF(ISERROR(INDEX('Inventaire M-1'!$A$2:$AZ$9320,MATCH(B639,'Inventaire M-1'!$A:$A,0)-1,MATCH("quantite",'Inventaire M-1'!#REF!,0))),"Buy",INDEX('Inventaire M-1'!$A$2:$AZ$9320,MATCH(B639,'Inventaire M-1'!$A:$A,0)-1,MATCH("quantite",'Inventaire M-1'!#REF!,0))))</f>
        <v/>
      </c>
      <c r="J639" s="175"/>
      <c r="K639" s="155" t="str">
        <f>IF(B639="-","",INDEX('Inventaire M'!$A$2:$AW$9305,MATCH(B639,'Inventaire M'!$A:$A,0)-1,MATCH("poids",'Inventaire M'!#REF!,0)))</f>
        <v/>
      </c>
      <c r="L639" s="155" t="str">
        <f>IF(B639="-","",IF(ISERROR(INDEX('Inventaire M-1'!$A$2:$AZ$9320,MATCH(B639,'Inventaire M-1'!$A:$A,0)-1,MATCH("poids",'Inventaire M-1'!#REF!,0))),"Buy",INDEX('Inventaire M-1'!$A$2:$AZ$9320,MATCH(B639,'Inventaire M-1'!$A:$A,0)-1,MATCH("poids",'Inventaire M-1'!#REF!,0))))</f>
        <v/>
      </c>
      <c r="M639" s="175"/>
      <c r="N639" s="157" t="str">
        <f t="shared" si="67"/>
        <v>0</v>
      </c>
      <c r="O639" s="98" t="str">
        <f t="shared" si="66"/>
        <v/>
      </c>
      <c r="P639" s="80" t="str">
        <f t="shared" si="68"/>
        <v>-</v>
      </c>
      <c r="Q639" s="75">
        <v>6.1500000000000001E-8</v>
      </c>
      <c r="R639" s="175" t="str">
        <f>IF(OR('Inventaire M-1'!D391="Dispo/Liquidité Investie",'Inventaire M-1'!D391="Option/Future",'Inventaire M-1'!D391="TCN",'Inventaire M-1'!D391=""),"-",'Inventaire M-1'!A391)</f>
        <v>-</v>
      </c>
      <c r="S639" s="175" t="str">
        <f>IF(OR('Inventaire M-1'!D391="Dispo/Liquidité Investie",'Inventaire M-1'!D391="Option/Future",'Inventaire M-1'!D391="TCN",'Inventaire M-1'!D391=""),"-",'Inventaire M-1'!B391)</f>
        <v>-</v>
      </c>
      <c r="T639" s="175"/>
      <c r="U639" s="175" t="str">
        <f>IF(R639="-","",INDEX('Inventaire M-1'!$A$2:$AG$9334,MATCH(R639,'Inventaire M-1'!$A:$A,0)-1,MATCH("Cours EUR",'Inventaire M-1'!#REF!,0)))</f>
        <v/>
      </c>
      <c r="V639" s="175" t="str">
        <f>IF(R639="-","",IF(ISERROR(INDEX('Inventaire M'!$A$2:$AD$9319,MATCH(R639,'Inventaire M'!$A:$A,0)-1,MATCH("Cours EUR",'Inventaire M'!#REF!,0))),"Sell",INDEX('Inventaire M'!$A$2:$AD$9319,MATCH(R639,'Inventaire M'!$A:$A,0)-1,MATCH("Cours EUR",'Inventaire M'!#REF!,0))))</f>
        <v/>
      </c>
      <c r="W639" s="175"/>
      <c r="X639" s="156" t="str">
        <f>IF(R639="-","",INDEX('Inventaire M-1'!$A$2:$AG$9334,MATCH(R639,'Inventaire M-1'!$A:$A,0)-1,MATCH("quantite",'Inventaire M-1'!#REF!,0)))</f>
        <v/>
      </c>
      <c r="Y639" s="156" t="str">
        <f>IF(S639="-","",IF(ISERROR(INDEX('Inventaire M'!$A$2:$AD$9319,MATCH(R639,'Inventaire M'!$A:$A,0)-1,MATCH("quantite",'Inventaire M'!#REF!,0))),"Sell",INDEX('Inventaire M'!$A$2:$AD$9319,MATCH(R639,'Inventaire M'!$A:$A,0)-1,MATCH("quantite",'Inventaire M'!#REF!,0))))</f>
        <v/>
      </c>
      <c r="Z639" s="175"/>
      <c r="AA639" s="155" t="str">
        <f>IF(R639="-","",INDEX('Inventaire M-1'!$A$2:$AG$9334,MATCH(R639,'Inventaire M-1'!$A:$A,0)-1,MATCH("poids",'Inventaire M-1'!#REF!,0)))</f>
        <v/>
      </c>
      <c r="AB639" s="155" t="str">
        <f>IF(R639="-","",IF(ISERROR(INDEX('Inventaire M'!$A$2:$AD$9319,MATCH(R639,'Inventaire M'!$A:$A,0)-1,MATCH("poids",'Inventaire M'!#REF!,0))),"Sell",INDEX('Inventaire M'!$A$2:$AD$9319,MATCH(R639,'Inventaire M'!$A:$A,0)-1,MATCH("poids",'Inventaire M'!#REF!,0))))</f>
        <v/>
      </c>
      <c r="AC639" s="175"/>
      <c r="AD639" s="157" t="str">
        <f t="shared" si="69"/>
        <v>0</v>
      </c>
      <c r="AE639" s="98" t="str">
        <f t="shared" si="70"/>
        <v/>
      </c>
      <c r="AF639" s="80" t="str">
        <f t="shared" si="71"/>
        <v>-</v>
      </c>
    </row>
    <row r="640" spans="2:32" outlineLevel="1">
      <c r="B640" s="175" t="str">
        <f>IF(OR('Inventaire M'!D413="Dispo/Liquidité Investie",'Inventaire M'!D413="Option/Future",'Inventaire M'!D413="TCN",'Inventaire M'!D413=""),"-",'Inventaire M'!A413)</f>
        <v>-</v>
      </c>
      <c r="C640" s="175" t="str">
        <f>IF(OR('Inventaire M'!D413="Dispo/Liquidité Investie",'Inventaire M'!D413="Option/Future",'Inventaire M'!D413="TCN",'Inventaire M'!D413=""),"-",'Inventaire M'!B413)</f>
        <v>-</v>
      </c>
      <c r="D640" s="175"/>
      <c r="E640" s="175" t="str">
        <f>IF(B640="-","",INDEX('Inventaire M'!$A$2:$AW$9305,MATCH(B640,'Inventaire M'!$A:$A,0)-1,MATCH("Cours EUR",'Inventaire M'!#REF!,0)))</f>
        <v/>
      </c>
      <c r="F640" s="175" t="str">
        <f>IF(B640="-","",IF(ISERROR(INDEX('Inventaire M-1'!$A$2:$AZ$9320,MATCH(B640,'Inventaire M-1'!$A:$A,0)-1,MATCH("Cours EUR",'Inventaire M-1'!#REF!,0))),"Buy",INDEX('Inventaire M-1'!$A$2:$AZ$9320,MATCH(B640,'Inventaire M-1'!$A:$A,0)-1,MATCH("Cours EUR",'Inventaire M-1'!#REF!,0))))</f>
        <v/>
      </c>
      <c r="G640" s="175"/>
      <c r="H640" s="156" t="str">
        <f>IF(B640="-","",INDEX('Inventaire M'!$A$2:$AW$9305,MATCH(B640,'Inventaire M'!$A:$A,0)-1,MATCH("quantite",'Inventaire M'!#REF!,0)))</f>
        <v/>
      </c>
      <c r="I640" s="156" t="str">
        <f>IF(C640="-","",IF(ISERROR(INDEX('Inventaire M-1'!$A$2:$AZ$9320,MATCH(B640,'Inventaire M-1'!$A:$A,0)-1,MATCH("quantite",'Inventaire M-1'!#REF!,0))),"Buy",INDEX('Inventaire M-1'!$A$2:$AZ$9320,MATCH(B640,'Inventaire M-1'!$A:$A,0)-1,MATCH("quantite",'Inventaire M-1'!#REF!,0))))</f>
        <v/>
      </c>
      <c r="J640" s="175"/>
      <c r="K640" s="155" t="str">
        <f>IF(B640="-","",INDEX('Inventaire M'!$A$2:$AW$9305,MATCH(B640,'Inventaire M'!$A:$A,0)-1,MATCH("poids",'Inventaire M'!#REF!,0)))</f>
        <v/>
      </c>
      <c r="L640" s="155" t="str">
        <f>IF(B640="-","",IF(ISERROR(INDEX('Inventaire M-1'!$A$2:$AZ$9320,MATCH(B640,'Inventaire M-1'!$A:$A,0)-1,MATCH("poids",'Inventaire M-1'!#REF!,0))),"Buy",INDEX('Inventaire M-1'!$A$2:$AZ$9320,MATCH(B640,'Inventaire M-1'!$A:$A,0)-1,MATCH("poids",'Inventaire M-1'!#REF!,0))))</f>
        <v/>
      </c>
      <c r="M640" s="175"/>
      <c r="N640" s="157" t="str">
        <f t="shared" si="67"/>
        <v>0</v>
      </c>
      <c r="O640" s="98" t="str">
        <f t="shared" si="66"/>
        <v/>
      </c>
      <c r="P640" s="80" t="str">
        <f t="shared" si="68"/>
        <v>-</v>
      </c>
      <c r="Q640" s="75">
        <v>6.1599999999999996E-8</v>
      </c>
      <c r="R640" s="175" t="str">
        <f>IF(OR('Inventaire M-1'!D392="Dispo/Liquidité Investie",'Inventaire M-1'!D392="Option/Future",'Inventaire M-1'!D392="TCN",'Inventaire M-1'!D392=""),"-",'Inventaire M-1'!A392)</f>
        <v>-</v>
      </c>
      <c r="S640" s="175" t="str">
        <f>IF(OR('Inventaire M-1'!D392="Dispo/Liquidité Investie",'Inventaire M-1'!D392="Option/Future",'Inventaire M-1'!D392="TCN",'Inventaire M-1'!D392=""),"-",'Inventaire M-1'!B392)</f>
        <v>-</v>
      </c>
      <c r="T640" s="175"/>
      <c r="U640" s="175" t="str">
        <f>IF(R640="-","",INDEX('Inventaire M-1'!$A$2:$AG$9334,MATCH(R640,'Inventaire M-1'!$A:$A,0)-1,MATCH("Cours EUR",'Inventaire M-1'!#REF!,0)))</f>
        <v/>
      </c>
      <c r="V640" s="175" t="str">
        <f>IF(R640="-","",IF(ISERROR(INDEX('Inventaire M'!$A$2:$AD$9319,MATCH(R640,'Inventaire M'!$A:$A,0)-1,MATCH("Cours EUR",'Inventaire M'!#REF!,0))),"Sell",INDEX('Inventaire M'!$A$2:$AD$9319,MATCH(R640,'Inventaire M'!$A:$A,0)-1,MATCH("Cours EUR",'Inventaire M'!#REF!,0))))</f>
        <v/>
      </c>
      <c r="W640" s="175"/>
      <c r="X640" s="156" t="str">
        <f>IF(R640="-","",INDEX('Inventaire M-1'!$A$2:$AG$9334,MATCH(R640,'Inventaire M-1'!$A:$A,0)-1,MATCH("quantite",'Inventaire M-1'!#REF!,0)))</f>
        <v/>
      </c>
      <c r="Y640" s="156" t="str">
        <f>IF(S640="-","",IF(ISERROR(INDEX('Inventaire M'!$A$2:$AD$9319,MATCH(R640,'Inventaire M'!$A:$A,0)-1,MATCH("quantite",'Inventaire M'!#REF!,0))),"Sell",INDEX('Inventaire M'!$A$2:$AD$9319,MATCH(R640,'Inventaire M'!$A:$A,0)-1,MATCH("quantite",'Inventaire M'!#REF!,0))))</f>
        <v/>
      </c>
      <c r="Z640" s="175"/>
      <c r="AA640" s="155" t="str">
        <f>IF(R640="-","",INDEX('Inventaire M-1'!$A$2:$AG$9334,MATCH(R640,'Inventaire M-1'!$A:$A,0)-1,MATCH("poids",'Inventaire M-1'!#REF!,0)))</f>
        <v/>
      </c>
      <c r="AB640" s="155" t="str">
        <f>IF(R640="-","",IF(ISERROR(INDEX('Inventaire M'!$A$2:$AD$9319,MATCH(R640,'Inventaire M'!$A:$A,0)-1,MATCH("poids",'Inventaire M'!#REF!,0))),"Sell",INDEX('Inventaire M'!$A$2:$AD$9319,MATCH(R640,'Inventaire M'!$A:$A,0)-1,MATCH("poids",'Inventaire M'!#REF!,0))))</f>
        <v/>
      </c>
      <c r="AC640" s="175"/>
      <c r="AD640" s="157" t="str">
        <f t="shared" si="69"/>
        <v>0</v>
      </c>
      <c r="AE640" s="98" t="str">
        <f t="shared" si="70"/>
        <v/>
      </c>
      <c r="AF640" s="80" t="str">
        <f t="shared" si="71"/>
        <v>-</v>
      </c>
    </row>
    <row r="641" spans="2:32" outlineLevel="1">
      <c r="B641" s="175" t="str">
        <f>IF(OR('Inventaire M'!D414="Dispo/Liquidité Investie",'Inventaire M'!D414="Option/Future",'Inventaire M'!D414="TCN",'Inventaire M'!D414=""),"-",'Inventaire M'!A414)</f>
        <v>-</v>
      </c>
      <c r="C641" s="175" t="str">
        <f>IF(OR('Inventaire M'!D414="Dispo/Liquidité Investie",'Inventaire M'!D414="Option/Future",'Inventaire M'!D414="TCN",'Inventaire M'!D414=""),"-",'Inventaire M'!B414)</f>
        <v>-</v>
      </c>
      <c r="D641" s="175"/>
      <c r="E641" s="175" t="str">
        <f>IF(B641="-","",INDEX('Inventaire M'!$A$2:$AW$9305,MATCH(B641,'Inventaire M'!$A:$A,0)-1,MATCH("Cours EUR",'Inventaire M'!#REF!,0)))</f>
        <v/>
      </c>
      <c r="F641" s="175" t="str">
        <f>IF(B641="-","",IF(ISERROR(INDEX('Inventaire M-1'!$A$2:$AZ$9320,MATCH(B641,'Inventaire M-1'!$A:$A,0)-1,MATCH("Cours EUR",'Inventaire M-1'!#REF!,0))),"Buy",INDEX('Inventaire M-1'!$A$2:$AZ$9320,MATCH(B641,'Inventaire M-1'!$A:$A,0)-1,MATCH("Cours EUR",'Inventaire M-1'!#REF!,0))))</f>
        <v/>
      </c>
      <c r="G641" s="175"/>
      <c r="H641" s="156" t="str">
        <f>IF(B641="-","",INDEX('Inventaire M'!$A$2:$AW$9305,MATCH(B641,'Inventaire M'!$A:$A,0)-1,MATCH("quantite",'Inventaire M'!#REF!,0)))</f>
        <v/>
      </c>
      <c r="I641" s="156" t="str">
        <f>IF(C641="-","",IF(ISERROR(INDEX('Inventaire M-1'!$A$2:$AZ$9320,MATCH(B641,'Inventaire M-1'!$A:$A,0)-1,MATCH("quantite",'Inventaire M-1'!#REF!,0))),"Buy",INDEX('Inventaire M-1'!$A$2:$AZ$9320,MATCH(B641,'Inventaire M-1'!$A:$A,0)-1,MATCH("quantite",'Inventaire M-1'!#REF!,0))))</f>
        <v/>
      </c>
      <c r="J641" s="175"/>
      <c r="K641" s="155" t="str">
        <f>IF(B641="-","",INDEX('Inventaire M'!$A$2:$AW$9305,MATCH(B641,'Inventaire M'!$A:$A,0)-1,MATCH("poids",'Inventaire M'!#REF!,0)))</f>
        <v/>
      </c>
      <c r="L641" s="155" t="str">
        <f>IF(B641="-","",IF(ISERROR(INDEX('Inventaire M-1'!$A$2:$AZ$9320,MATCH(B641,'Inventaire M-1'!$A:$A,0)-1,MATCH("poids",'Inventaire M-1'!#REF!,0))),"Buy",INDEX('Inventaire M-1'!$A$2:$AZ$9320,MATCH(B641,'Inventaire M-1'!$A:$A,0)-1,MATCH("poids",'Inventaire M-1'!#REF!,0))))</f>
        <v/>
      </c>
      <c r="M641" s="175"/>
      <c r="N641" s="157" t="str">
        <f t="shared" si="67"/>
        <v>0</v>
      </c>
      <c r="O641" s="98" t="str">
        <f t="shared" si="66"/>
        <v/>
      </c>
      <c r="P641" s="80" t="str">
        <f t="shared" si="68"/>
        <v>-</v>
      </c>
      <c r="Q641" s="75">
        <v>6.1700000000000003E-8</v>
      </c>
      <c r="R641" s="175" t="str">
        <f>IF(OR('Inventaire M-1'!D393="Dispo/Liquidité Investie",'Inventaire M-1'!D393="Option/Future",'Inventaire M-1'!D393="TCN",'Inventaire M-1'!D393=""),"-",'Inventaire M-1'!A393)</f>
        <v>-</v>
      </c>
      <c r="S641" s="175" t="str">
        <f>IF(OR('Inventaire M-1'!D393="Dispo/Liquidité Investie",'Inventaire M-1'!D393="Option/Future",'Inventaire M-1'!D393="TCN",'Inventaire M-1'!D393=""),"-",'Inventaire M-1'!B393)</f>
        <v>-</v>
      </c>
      <c r="T641" s="175"/>
      <c r="U641" s="175" t="str">
        <f>IF(R641="-","",INDEX('Inventaire M-1'!$A$2:$AG$9334,MATCH(R641,'Inventaire M-1'!$A:$A,0)-1,MATCH("Cours EUR",'Inventaire M-1'!#REF!,0)))</f>
        <v/>
      </c>
      <c r="V641" s="175" t="str">
        <f>IF(R641="-","",IF(ISERROR(INDEX('Inventaire M'!$A$2:$AD$9319,MATCH(R641,'Inventaire M'!$A:$A,0)-1,MATCH("Cours EUR",'Inventaire M'!#REF!,0))),"Sell",INDEX('Inventaire M'!$A$2:$AD$9319,MATCH(R641,'Inventaire M'!$A:$A,0)-1,MATCH("Cours EUR",'Inventaire M'!#REF!,0))))</f>
        <v/>
      </c>
      <c r="W641" s="175"/>
      <c r="X641" s="156" t="str">
        <f>IF(R641="-","",INDEX('Inventaire M-1'!$A$2:$AG$9334,MATCH(R641,'Inventaire M-1'!$A:$A,0)-1,MATCH("quantite",'Inventaire M-1'!#REF!,0)))</f>
        <v/>
      </c>
      <c r="Y641" s="156" t="str">
        <f>IF(S641="-","",IF(ISERROR(INDEX('Inventaire M'!$A$2:$AD$9319,MATCH(R641,'Inventaire M'!$A:$A,0)-1,MATCH("quantite",'Inventaire M'!#REF!,0))),"Sell",INDEX('Inventaire M'!$A$2:$AD$9319,MATCH(R641,'Inventaire M'!$A:$A,0)-1,MATCH("quantite",'Inventaire M'!#REF!,0))))</f>
        <v/>
      </c>
      <c r="Z641" s="175"/>
      <c r="AA641" s="155" t="str">
        <f>IF(R641="-","",INDEX('Inventaire M-1'!$A$2:$AG$9334,MATCH(R641,'Inventaire M-1'!$A:$A,0)-1,MATCH("poids",'Inventaire M-1'!#REF!,0)))</f>
        <v/>
      </c>
      <c r="AB641" s="155" t="str">
        <f>IF(R641="-","",IF(ISERROR(INDEX('Inventaire M'!$A$2:$AD$9319,MATCH(R641,'Inventaire M'!$A:$A,0)-1,MATCH("poids",'Inventaire M'!#REF!,0))),"Sell",INDEX('Inventaire M'!$A$2:$AD$9319,MATCH(R641,'Inventaire M'!$A:$A,0)-1,MATCH("poids",'Inventaire M'!#REF!,0))))</f>
        <v/>
      </c>
      <c r="AC641" s="175"/>
      <c r="AD641" s="157" t="str">
        <f t="shared" si="69"/>
        <v>0</v>
      </c>
      <c r="AE641" s="98" t="str">
        <f t="shared" si="70"/>
        <v/>
      </c>
      <c r="AF641" s="80" t="str">
        <f t="shared" si="71"/>
        <v>-</v>
      </c>
    </row>
    <row r="642" spans="2:32" outlineLevel="1">
      <c r="B642" s="175" t="str">
        <f>IF(OR('Inventaire M'!D415="Dispo/Liquidité Investie",'Inventaire M'!D415="Option/Future",'Inventaire M'!D415="TCN",'Inventaire M'!D415=""),"-",'Inventaire M'!A415)</f>
        <v>-</v>
      </c>
      <c r="C642" s="175" t="str">
        <f>IF(OR('Inventaire M'!D415="Dispo/Liquidité Investie",'Inventaire M'!D415="Option/Future",'Inventaire M'!D415="TCN",'Inventaire M'!D415=""),"-",'Inventaire M'!B415)</f>
        <v>-</v>
      </c>
      <c r="D642" s="175"/>
      <c r="E642" s="175" t="str">
        <f>IF(B642="-","",INDEX('Inventaire M'!$A$2:$AW$9305,MATCH(B642,'Inventaire M'!$A:$A,0)-1,MATCH("Cours EUR",'Inventaire M'!#REF!,0)))</f>
        <v/>
      </c>
      <c r="F642" s="175" t="str">
        <f>IF(B642="-","",IF(ISERROR(INDEX('Inventaire M-1'!$A$2:$AZ$9320,MATCH(B642,'Inventaire M-1'!$A:$A,0)-1,MATCH("Cours EUR",'Inventaire M-1'!#REF!,0))),"Buy",INDEX('Inventaire M-1'!$A$2:$AZ$9320,MATCH(B642,'Inventaire M-1'!$A:$A,0)-1,MATCH("Cours EUR",'Inventaire M-1'!#REF!,0))))</f>
        <v/>
      </c>
      <c r="G642" s="175"/>
      <c r="H642" s="156" t="str">
        <f>IF(B642="-","",INDEX('Inventaire M'!$A$2:$AW$9305,MATCH(B642,'Inventaire M'!$A:$A,0)-1,MATCH("quantite",'Inventaire M'!#REF!,0)))</f>
        <v/>
      </c>
      <c r="I642" s="156" t="str">
        <f>IF(C642="-","",IF(ISERROR(INDEX('Inventaire M-1'!$A$2:$AZ$9320,MATCH(B642,'Inventaire M-1'!$A:$A,0)-1,MATCH("quantite",'Inventaire M-1'!#REF!,0))),"Buy",INDEX('Inventaire M-1'!$A$2:$AZ$9320,MATCH(B642,'Inventaire M-1'!$A:$A,0)-1,MATCH("quantite",'Inventaire M-1'!#REF!,0))))</f>
        <v/>
      </c>
      <c r="J642" s="175"/>
      <c r="K642" s="155" t="str">
        <f>IF(B642="-","",INDEX('Inventaire M'!$A$2:$AW$9305,MATCH(B642,'Inventaire M'!$A:$A,0)-1,MATCH("poids",'Inventaire M'!#REF!,0)))</f>
        <v/>
      </c>
      <c r="L642" s="155" t="str">
        <f>IF(B642="-","",IF(ISERROR(INDEX('Inventaire M-1'!$A$2:$AZ$9320,MATCH(B642,'Inventaire M-1'!$A:$A,0)-1,MATCH("poids",'Inventaire M-1'!#REF!,0))),"Buy",INDEX('Inventaire M-1'!$A$2:$AZ$9320,MATCH(B642,'Inventaire M-1'!$A:$A,0)-1,MATCH("poids",'Inventaire M-1'!#REF!,0))))</f>
        <v/>
      </c>
      <c r="M642" s="175"/>
      <c r="N642" s="157" t="str">
        <f t="shared" si="67"/>
        <v>0</v>
      </c>
      <c r="O642" s="98" t="str">
        <f t="shared" si="66"/>
        <v/>
      </c>
      <c r="P642" s="80" t="str">
        <f t="shared" si="68"/>
        <v>-</v>
      </c>
      <c r="Q642" s="75">
        <v>6.1799999999999998E-8</v>
      </c>
      <c r="R642" s="175" t="str">
        <f>IF(OR('Inventaire M-1'!D394="Dispo/Liquidité Investie",'Inventaire M-1'!D394="Option/Future",'Inventaire M-1'!D394="TCN",'Inventaire M-1'!D394=""),"-",'Inventaire M-1'!A394)</f>
        <v>-</v>
      </c>
      <c r="S642" s="175" t="str">
        <f>IF(OR('Inventaire M-1'!D394="Dispo/Liquidité Investie",'Inventaire M-1'!D394="Option/Future",'Inventaire M-1'!D394="TCN",'Inventaire M-1'!D394=""),"-",'Inventaire M-1'!B394)</f>
        <v>-</v>
      </c>
      <c r="T642" s="175"/>
      <c r="U642" s="175" t="str">
        <f>IF(R642="-","",INDEX('Inventaire M-1'!$A$2:$AG$9334,MATCH(R642,'Inventaire M-1'!$A:$A,0)-1,MATCH("Cours EUR",'Inventaire M-1'!#REF!,0)))</f>
        <v/>
      </c>
      <c r="V642" s="175" t="str">
        <f>IF(R642="-","",IF(ISERROR(INDEX('Inventaire M'!$A$2:$AD$9319,MATCH(R642,'Inventaire M'!$A:$A,0)-1,MATCH("Cours EUR",'Inventaire M'!#REF!,0))),"Sell",INDEX('Inventaire M'!$A$2:$AD$9319,MATCH(R642,'Inventaire M'!$A:$A,0)-1,MATCH("Cours EUR",'Inventaire M'!#REF!,0))))</f>
        <v/>
      </c>
      <c r="W642" s="175"/>
      <c r="X642" s="156" t="str">
        <f>IF(R642="-","",INDEX('Inventaire M-1'!$A$2:$AG$9334,MATCH(R642,'Inventaire M-1'!$A:$A,0)-1,MATCH("quantite",'Inventaire M-1'!#REF!,0)))</f>
        <v/>
      </c>
      <c r="Y642" s="156" t="str">
        <f>IF(S642="-","",IF(ISERROR(INDEX('Inventaire M'!$A$2:$AD$9319,MATCH(R642,'Inventaire M'!$A:$A,0)-1,MATCH("quantite",'Inventaire M'!#REF!,0))),"Sell",INDEX('Inventaire M'!$A$2:$AD$9319,MATCH(R642,'Inventaire M'!$A:$A,0)-1,MATCH("quantite",'Inventaire M'!#REF!,0))))</f>
        <v/>
      </c>
      <c r="Z642" s="175"/>
      <c r="AA642" s="155" t="str">
        <f>IF(R642="-","",INDEX('Inventaire M-1'!$A$2:$AG$9334,MATCH(R642,'Inventaire M-1'!$A:$A,0)-1,MATCH("poids",'Inventaire M-1'!#REF!,0)))</f>
        <v/>
      </c>
      <c r="AB642" s="155" t="str">
        <f>IF(R642="-","",IF(ISERROR(INDEX('Inventaire M'!$A$2:$AD$9319,MATCH(R642,'Inventaire M'!$A:$A,0)-1,MATCH("poids",'Inventaire M'!#REF!,0))),"Sell",INDEX('Inventaire M'!$A$2:$AD$9319,MATCH(R642,'Inventaire M'!$A:$A,0)-1,MATCH("poids",'Inventaire M'!#REF!,0))))</f>
        <v/>
      </c>
      <c r="AC642" s="175"/>
      <c r="AD642" s="157" t="str">
        <f t="shared" si="69"/>
        <v>0</v>
      </c>
      <c r="AE642" s="98" t="str">
        <f t="shared" si="70"/>
        <v/>
      </c>
      <c r="AF642" s="80" t="str">
        <f t="shared" si="71"/>
        <v>-</v>
      </c>
    </row>
    <row r="643" spans="2:32" outlineLevel="1">
      <c r="B643" s="175" t="str">
        <f>IF(OR('Inventaire M'!D416="Dispo/Liquidité Investie",'Inventaire M'!D416="Option/Future",'Inventaire M'!D416="TCN",'Inventaire M'!D416=""),"-",'Inventaire M'!A416)</f>
        <v>-</v>
      </c>
      <c r="C643" s="175" t="str">
        <f>IF(OR('Inventaire M'!D416="Dispo/Liquidité Investie",'Inventaire M'!D416="Option/Future",'Inventaire M'!D416="TCN",'Inventaire M'!D416=""),"-",'Inventaire M'!B416)</f>
        <v>-</v>
      </c>
      <c r="D643" s="175"/>
      <c r="E643" s="175" t="str">
        <f>IF(B643="-","",INDEX('Inventaire M'!$A$2:$AW$9305,MATCH(B643,'Inventaire M'!$A:$A,0)-1,MATCH("Cours EUR",'Inventaire M'!#REF!,0)))</f>
        <v/>
      </c>
      <c r="F643" s="175" t="str">
        <f>IF(B643="-","",IF(ISERROR(INDEX('Inventaire M-1'!$A$2:$AZ$9320,MATCH(B643,'Inventaire M-1'!$A:$A,0)-1,MATCH("Cours EUR",'Inventaire M-1'!#REF!,0))),"Buy",INDEX('Inventaire M-1'!$A$2:$AZ$9320,MATCH(B643,'Inventaire M-1'!$A:$A,0)-1,MATCH("Cours EUR",'Inventaire M-1'!#REF!,0))))</f>
        <v/>
      </c>
      <c r="G643" s="175"/>
      <c r="H643" s="156" t="str">
        <f>IF(B643="-","",INDEX('Inventaire M'!$A$2:$AW$9305,MATCH(B643,'Inventaire M'!$A:$A,0)-1,MATCH("quantite",'Inventaire M'!#REF!,0)))</f>
        <v/>
      </c>
      <c r="I643" s="156" t="str">
        <f>IF(C643="-","",IF(ISERROR(INDEX('Inventaire M-1'!$A$2:$AZ$9320,MATCH(B643,'Inventaire M-1'!$A:$A,0)-1,MATCH("quantite",'Inventaire M-1'!#REF!,0))),"Buy",INDEX('Inventaire M-1'!$A$2:$AZ$9320,MATCH(B643,'Inventaire M-1'!$A:$A,0)-1,MATCH("quantite",'Inventaire M-1'!#REF!,0))))</f>
        <v/>
      </c>
      <c r="J643" s="175"/>
      <c r="K643" s="155" t="str">
        <f>IF(B643="-","",INDEX('Inventaire M'!$A$2:$AW$9305,MATCH(B643,'Inventaire M'!$A:$A,0)-1,MATCH("poids",'Inventaire M'!#REF!,0)))</f>
        <v/>
      </c>
      <c r="L643" s="155" t="str">
        <f>IF(B643="-","",IF(ISERROR(INDEX('Inventaire M-1'!$A$2:$AZ$9320,MATCH(B643,'Inventaire M-1'!$A:$A,0)-1,MATCH("poids",'Inventaire M-1'!#REF!,0))),"Buy",INDEX('Inventaire M-1'!$A$2:$AZ$9320,MATCH(B643,'Inventaire M-1'!$A:$A,0)-1,MATCH("poids",'Inventaire M-1'!#REF!,0))))</f>
        <v/>
      </c>
      <c r="M643" s="175"/>
      <c r="N643" s="157" t="str">
        <f t="shared" si="67"/>
        <v>0</v>
      </c>
      <c r="O643" s="98" t="str">
        <f t="shared" si="66"/>
        <v/>
      </c>
      <c r="P643" s="80" t="str">
        <f t="shared" si="68"/>
        <v>-</v>
      </c>
      <c r="Q643" s="75">
        <v>6.1900000000000005E-8</v>
      </c>
      <c r="R643" s="175" t="str">
        <f>IF(OR('Inventaire M-1'!D395="Dispo/Liquidité Investie",'Inventaire M-1'!D395="Option/Future",'Inventaire M-1'!D395="TCN",'Inventaire M-1'!D395=""),"-",'Inventaire M-1'!A395)</f>
        <v>-</v>
      </c>
      <c r="S643" s="175" t="str">
        <f>IF(OR('Inventaire M-1'!D395="Dispo/Liquidité Investie",'Inventaire M-1'!D395="Option/Future",'Inventaire M-1'!D395="TCN",'Inventaire M-1'!D395=""),"-",'Inventaire M-1'!B395)</f>
        <v>-</v>
      </c>
      <c r="T643" s="175"/>
      <c r="U643" s="175" t="str">
        <f>IF(R643="-","",INDEX('Inventaire M-1'!$A$2:$AG$9334,MATCH(R643,'Inventaire M-1'!$A:$A,0)-1,MATCH("Cours EUR",'Inventaire M-1'!#REF!,0)))</f>
        <v/>
      </c>
      <c r="V643" s="175" t="str">
        <f>IF(R643="-","",IF(ISERROR(INDEX('Inventaire M'!$A$2:$AD$9319,MATCH(R643,'Inventaire M'!$A:$A,0)-1,MATCH("Cours EUR",'Inventaire M'!#REF!,0))),"Sell",INDEX('Inventaire M'!$A$2:$AD$9319,MATCH(R643,'Inventaire M'!$A:$A,0)-1,MATCH("Cours EUR",'Inventaire M'!#REF!,0))))</f>
        <v/>
      </c>
      <c r="W643" s="175"/>
      <c r="X643" s="156" t="str">
        <f>IF(R643="-","",INDEX('Inventaire M-1'!$A$2:$AG$9334,MATCH(R643,'Inventaire M-1'!$A:$A,0)-1,MATCH("quantite",'Inventaire M-1'!#REF!,0)))</f>
        <v/>
      </c>
      <c r="Y643" s="156" t="str">
        <f>IF(S643="-","",IF(ISERROR(INDEX('Inventaire M'!$A$2:$AD$9319,MATCH(R643,'Inventaire M'!$A:$A,0)-1,MATCH("quantite",'Inventaire M'!#REF!,0))),"Sell",INDEX('Inventaire M'!$A$2:$AD$9319,MATCH(R643,'Inventaire M'!$A:$A,0)-1,MATCH("quantite",'Inventaire M'!#REF!,0))))</f>
        <v/>
      </c>
      <c r="Z643" s="175"/>
      <c r="AA643" s="155" t="str">
        <f>IF(R643="-","",INDEX('Inventaire M-1'!$A$2:$AG$9334,MATCH(R643,'Inventaire M-1'!$A:$A,0)-1,MATCH("poids",'Inventaire M-1'!#REF!,0)))</f>
        <v/>
      </c>
      <c r="AB643" s="155" t="str">
        <f>IF(R643="-","",IF(ISERROR(INDEX('Inventaire M'!$A$2:$AD$9319,MATCH(R643,'Inventaire M'!$A:$A,0)-1,MATCH("poids",'Inventaire M'!#REF!,0))),"Sell",INDEX('Inventaire M'!$A$2:$AD$9319,MATCH(R643,'Inventaire M'!$A:$A,0)-1,MATCH("poids",'Inventaire M'!#REF!,0))))</f>
        <v/>
      </c>
      <c r="AC643" s="175"/>
      <c r="AD643" s="157" t="str">
        <f t="shared" si="69"/>
        <v>0</v>
      </c>
      <c r="AE643" s="98" t="str">
        <f t="shared" si="70"/>
        <v/>
      </c>
      <c r="AF643" s="80" t="str">
        <f t="shared" si="71"/>
        <v>-</v>
      </c>
    </row>
    <row r="644" spans="2:32" outlineLevel="1">
      <c r="B644" s="175" t="str">
        <f>IF(OR('Inventaire M'!D417="Dispo/Liquidité Investie",'Inventaire M'!D417="Option/Future",'Inventaire M'!D417="TCN",'Inventaire M'!D417=""),"-",'Inventaire M'!A417)</f>
        <v>-</v>
      </c>
      <c r="C644" s="175" t="str">
        <f>IF(OR('Inventaire M'!D417="Dispo/Liquidité Investie",'Inventaire M'!D417="Option/Future",'Inventaire M'!D417="TCN",'Inventaire M'!D417=""),"-",'Inventaire M'!B417)</f>
        <v>-</v>
      </c>
      <c r="D644" s="175"/>
      <c r="E644" s="175" t="str">
        <f>IF(B644="-","",INDEX('Inventaire M'!$A$2:$AW$9305,MATCH(B644,'Inventaire M'!$A:$A,0)-1,MATCH("Cours EUR",'Inventaire M'!#REF!,0)))</f>
        <v/>
      </c>
      <c r="F644" s="175" t="str">
        <f>IF(B644="-","",IF(ISERROR(INDEX('Inventaire M-1'!$A$2:$AZ$9320,MATCH(B644,'Inventaire M-1'!$A:$A,0)-1,MATCH("Cours EUR",'Inventaire M-1'!#REF!,0))),"Buy",INDEX('Inventaire M-1'!$A$2:$AZ$9320,MATCH(B644,'Inventaire M-1'!$A:$A,0)-1,MATCH("Cours EUR",'Inventaire M-1'!#REF!,0))))</f>
        <v/>
      </c>
      <c r="G644" s="175"/>
      <c r="H644" s="156" t="str">
        <f>IF(B644="-","",INDEX('Inventaire M'!$A$2:$AW$9305,MATCH(B644,'Inventaire M'!$A:$A,0)-1,MATCH("quantite",'Inventaire M'!#REF!,0)))</f>
        <v/>
      </c>
      <c r="I644" s="156" t="str">
        <f>IF(C644="-","",IF(ISERROR(INDEX('Inventaire M-1'!$A$2:$AZ$9320,MATCH(B644,'Inventaire M-1'!$A:$A,0)-1,MATCH("quantite",'Inventaire M-1'!#REF!,0))),"Buy",INDEX('Inventaire M-1'!$A$2:$AZ$9320,MATCH(B644,'Inventaire M-1'!$A:$A,0)-1,MATCH("quantite",'Inventaire M-1'!#REF!,0))))</f>
        <v/>
      </c>
      <c r="J644" s="175"/>
      <c r="K644" s="155" t="str">
        <f>IF(B644="-","",INDEX('Inventaire M'!$A$2:$AW$9305,MATCH(B644,'Inventaire M'!$A:$A,0)-1,MATCH("poids",'Inventaire M'!#REF!,0)))</f>
        <v/>
      </c>
      <c r="L644" s="155" t="str">
        <f>IF(B644="-","",IF(ISERROR(INDEX('Inventaire M-1'!$A$2:$AZ$9320,MATCH(B644,'Inventaire M-1'!$A:$A,0)-1,MATCH("poids",'Inventaire M-1'!#REF!,0))),"Buy",INDEX('Inventaire M-1'!$A$2:$AZ$9320,MATCH(B644,'Inventaire M-1'!$A:$A,0)-1,MATCH("poids",'Inventaire M-1'!#REF!,0))))</f>
        <v/>
      </c>
      <c r="M644" s="175"/>
      <c r="N644" s="157" t="str">
        <f t="shared" si="67"/>
        <v>0</v>
      </c>
      <c r="O644" s="98" t="str">
        <f t="shared" si="66"/>
        <v/>
      </c>
      <c r="P644" s="80" t="str">
        <f t="shared" si="68"/>
        <v>-</v>
      </c>
      <c r="Q644" s="75">
        <v>6.1999999999999999E-8</v>
      </c>
      <c r="R644" s="175" t="str">
        <f>IF(OR('Inventaire M-1'!D396="Dispo/Liquidité Investie",'Inventaire M-1'!D396="Option/Future",'Inventaire M-1'!D396="TCN",'Inventaire M-1'!D396=""),"-",'Inventaire M-1'!A396)</f>
        <v>-</v>
      </c>
      <c r="S644" s="175" t="str">
        <f>IF(OR('Inventaire M-1'!D396="Dispo/Liquidité Investie",'Inventaire M-1'!D396="Option/Future",'Inventaire M-1'!D396="TCN",'Inventaire M-1'!D396=""),"-",'Inventaire M-1'!B396)</f>
        <v>-</v>
      </c>
      <c r="T644" s="175"/>
      <c r="U644" s="175" t="str">
        <f>IF(R644="-","",INDEX('Inventaire M-1'!$A$2:$AG$9334,MATCH(R644,'Inventaire M-1'!$A:$A,0)-1,MATCH("Cours EUR",'Inventaire M-1'!#REF!,0)))</f>
        <v/>
      </c>
      <c r="V644" s="175" t="str">
        <f>IF(R644="-","",IF(ISERROR(INDEX('Inventaire M'!$A$2:$AD$9319,MATCH(R644,'Inventaire M'!$A:$A,0)-1,MATCH("Cours EUR",'Inventaire M'!#REF!,0))),"Sell",INDEX('Inventaire M'!$A$2:$AD$9319,MATCH(R644,'Inventaire M'!$A:$A,0)-1,MATCH("Cours EUR",'Inventaire M'!#REF!,0))))</f>
        <v/>
      </c>
      <c r="W644" s="175"/>
      <c r="X644" s="156" t="str">
        <f>IF(R644="-","",INDEX('Inventaire M-1'!$A$2:$AG$9334,MATCH(R644,'Inventaire M-1'!$A:$A,0)-1,MATCH("quantite",'Inventaire M-1'!#REF!,0)))</f>
        <v/>
      </c>
      <c r="Y644" s="156" t="str">
        <f>IF(S644="-","",IF(ISERROR(INDEX('Inventaire M'!$A$2:$AD$9319,MATCH(R644,'Inventaire M'!$A:$A,0)-1,MATCH("quantite",'Inventaire M'!#REF!,0))),"Sell",INDEX('Inventaire M'!$A$2:$AD$9319,MATCH(R644,'Inventaire M'!$A:$A,0)-1,MATCH("quantite",'Inventaire M'!#REF!,0))))</f>
        <v/>
      </c>
      <c r="Z644" s="175"/>
      <c r="AA644" s="155" t="str">
        <f>IF(R644="-","",INDEX('Inventaire M-1'!$A$2:$AG$9334,MATCH(R644,'Inventaire M-1'!$A:$A,0)-1,MATCH("poids",'Inventaire M-1'!#REF!,0)))</f>
        <v/>
      </c>
      <c r="AB644" s="155" t="str">
        <f>IF(R644="-","",IF(ISERROR(INDEX('Inventaire M'!$A$2:$AD$9319,MATCH(R644,'Inventaire M'!$A:$A,0)-1,MATCH("poids",'Inventaire M'!#REF!,0))),"Sell",INDEX('Inventaire M'!$A$2:$AD$9319,MATCH(R644,'Inventaire M'!$A:$A,0)-1,MATCH("poids",'Inventaire M'!#REF!,0))))</f>
        <v/>
      </c>
      <c r="AC644" s="175"/>
      <c r="AD644" s="157" t="str">
        <f t="shared" si="69"/>
        <v>0</v>
      </c>
      <c r="AE644" s="98" t="str">
        <f t="shared" si="70"/>
        <v/>
      </c>
      <c r="AF644" s="80" t="str">
        <f t="shared" si="71"/>
        <v>-</v>
      </c>
    </row>
    <row r="645" spans="2:32" outlineLevel="1">
      <c r="B645" s="175" t="str">
        <f>IF(OR('Inventaire M'!D418="Dispo/Liquidité Investie",'Inventaire M'!D418="Option/Future",'Inventaire M'!D418="TCN",'Inventaire M'!D418=""),"-",'Inventaire M'!A418)</f>
        <v>-</v>
      </c>
      <c r="C645" s="175" t="str">
        <f>IF(OR('Inventaire M'!D418="Dispo/Liquidité Investie",'Inventaire M'!D418="Option/Future",'Inventaire M'!D418="TCN",'Inventaire M'!D418=""),"-",'Inventaire M'!B418)</f>
        <v>-</v>
      </c>
      <c r="D645" s="175"/>
      <c r="E645" s="175" t="str">
        <f>IF(B645="-","",INDEX('Inventaire M'!$A$2:$AW$9305,MATCH(B645,'Inventaire M'!$A:$A,0)-1,MATCH("Cours EUR",'Inventaire M'!#REF!,0)))</f>
        <v/>
      </c>
      <c r="F645" s="175" t="str">
        <f>IF(B645="-","",IF(ISERROR(INDEX('Inventaire M-1'!$A$2:$AZ$9320,MATCH(B645,'Inventaire M-1'!$A:$A,0)-1,MATCH("Cours EUR",'Inventaire M-1'!#REF!,0))),"Buy",INDEX('Inventaire M-1'!$A$2:$AZ$9320,MATCH(B645,'Inventaire M-1'!$A:$A,0)-1,MATCH("Cours EUR",'Inventaire M-1'!#REF!,0))))</f>
        <v/>
      </c>
      <c r="G645" s="175"/>
      <c r="H645" s="156" t="str">
        <f>IF(B645="-","",INDEX('Inventaire M'!$A$2:$AW$9305,MATCH(B645,'Inventaire M'!$A:$A,0)-1,MATCH("quantite",'Inventaire M'!#REF!,0)))</f>
        <v/>
      </c>
      <c r="I645" s="156" t="str">
        <f>IF(C645="-","",IF(ISERROR(INDEX('Inventaire M-1'!$A$2:$AZ$9320,MATCH(B645,'Inventaire M-1'!$A:$A,0)-1,MATCH("quantite",'Inventaire M-1'!#REF!,0))),"Buy",INDEX('Inventaire M-1'!$A$2:$AZ$9320,MATCH(B645,'Inventaire M-1'!$A:$A,0)-1,MATCH("quantite",'Inventaire M-1'!#REF!,0))))</f>
        <v/>
      </c>
      <c r="J645" s="175"/>
      <c r="K645" s="155" t="str">
        <f>IF(B645="-","",INDEX('Inventaire M'!$A$2:$AW$9305,MATCH(B645,'Inventaire M'!$A:$A,0)-1,MATCH("poids",'Inventaire M'!#REF!,0)))</f>
        <v/>
      </c>
      <c r="L645" s="155" t="str">
        <f>IF(B645="-","",IF(ISERROR(INDEX('Inventaire M-1'!$A$2:$AZ$9320,MATCH(B645,'Inventaire M-1'!$A:$A,0)-1,MATCH("poids",'Inventaire M-1'!#REF!,0))),"Buy",INDEX('Inventaire M-1'!$A$2:$AZ$9320,MATCH(B645,'Inventaire M-1'!$A:$A,0)-1,MATCH("poids",'Inventaire M-1'!#REF!,0))))</f>
        <v/>
      </c>
      <c r="M645" s="175"/>
      <c r="N645" s="157" t="str">
        <f t="shared" si="67"/>
        <v>0</v>
      </c>
      <c r="O645" s="98" t="str">
        <f t="shared" si="66"/>
        <v/>
      </c>
      <c r="P645" s="80" t="str">
        <f t="shared" si="68"/>
        <v>-</v>
      </c>
      <c r="Q645" s="75">
        <v>6.2099999999999994E-8</v>
      </c>
      <c r="R645" s="175" t="str">
        <f>IF(OR('Inventaire M-1'!D397="Dispo/Liquidité Investie",'Inventaire M-1'!D397="Option/Future",'Inventaire M-1'!D397="TCN",'Inventaire M-1'!D397=""),"-",'Inventaire M-1'!A397)</f>
        <v>-</v>
      </c>
      <c r="S645" s="175" t="str">
        <f>IF(OR('Inventaire M-1'!D397="Dispo/Liquidité Investie",'Inventaire M-1'!D397="Option/Future",'Inventaire M-1'!D397="TCN",'Inventaire M-1'!D397=""),"-",'Inventaire M-1'!B397)</f>
        <v>-</v>
      </c>
      <c r="T645" s="175"/>
      <c r="U645" s="175" t="str">
        <f>IF(R645="-","",INDEX('Inventaire M-1'!$A$2:$AG$9334,MATCH(R645,'Inventaire M-1'!$A:$A,0)-1,MATCH("Cours EUR",'Inventaire M-1'!#REF!,0)))</f>
        <v/>
      </c>
      <c r="V645" s="175" t="str">
        <f>IF(R645="-","",IF(ISERROR(INDEX('Inventaire M'!$A$2:$AD$9319,MATCH(R645,'Inventaire M'!$A:$A,0)-1,MATCH("Cours EUR",'Inventaire M'!#REF!,0))),"Sell",INDEX('Inventaire M'!$A$2:$AD$9319,MATCH(R645,'Inventaire M'!$A:$A,0)-1,MATCH("Cours EUR",'Inventaire M'!#REF!,0))))</f>
        <v/>
      </c>
      <c r="W645" s="175"/>
      <c r="X645" s="156" t="str">
        <f>IF(R645="-","",INDEX('Inventaire M-1'!$A$2:$AG$9334,MATCH(R645,'Inventaire M-1'!$A:$A,0)-1,MATCH("quantite",'Inventaire M-1'!#REF!,0)))</f>
        <v/>
      </c>
      <c r="Y645" s="156" t="str">
        <f>IF(S645="-","",IF(ISERROR(INDEX('Inventaire M'!$A$2:$AD$9319,MATCH(R645,'Inventaire M'!$A:$A,0)-1,MATCH("quantite",'Inventaire M'!#REF!,0))),"Sell",INDEX('Inventaire M'!$A$2:$AD$9319,MATCH(R645,'Inventaire M'!$A:$A,0)-1,MATCH("quantite",'Inventaire M'!#REF!,0))))</f>
        <v/>
      </c>
      <c r="Z645" s="175"/>
      <c r="AA645" s="155" t="str">
        <f>IF(R645="-","",INDEX('Inventaire M-1'!$A$2:$AG$9334,MATCH(R645,'Inventaire M-1'!$A:$A,0)-1,MATCH("poids",'Inventaire M-1'!#REF!,0)))</f>
        <v/>
      </c>
      <c r="AB645" s="155" t="str">
        <f>IF(R645="-","",IF(ISERROR(INDEX('Inventaire M'!$A$2:$AD$9319,MATCH(R645,'Inventaire M'!$A:$A,0)-1,MATCH("poids",'Inventaire M'!#REF!,0))),"Sell",INDEX('Inventaire M'!$A$2:$AD$9319,MATCH(R645,'Inventaire M'!$A:$A,0)-1,MATCH("poids",'Inventaire M'!#REF!,0))))</f>
        <v/>
      </c>
      <c r="AC645" s="175"/>
      <c r="AD645" s="157" t="str">
        <f t="shared" si="69"/>
        <v>0</v>
      </c>
      <c r="AE645" s="98" t="str">
        <f t="shared" si="70"/>
        <v/>
      </c>
      <c r="AF645" s="80" t="str">
        <f t="shared" si="71"/>
        <v>-</v>
      </c>
    </row>
    <row r="646" spans="2:32" outlineLevel="1">
      <c r="B646" s="175" t="str">
        <f>IF(OR('Inventaire M'!D419="Dispo/Liquidité Investie",'Inventaire M'!D419="Option/Future",'Inventaire M'!D419="TCN",'Inventaire M'!D419=""),"-",'Inventaire M'!A419)</f>
        <v>-</v>
      </c>
      <c r="C646" s="175" t="str">
        <f>IF(OR('Inventaire M'!D419="Dispo/Liquidité Investie",'Inventaire M'!D419="Option/Future",'Inventaire M'!D419="TCN",'Inventaire M'!D419=""),"-",'Inventaire M'!B419)</f>
        <v>-</v>
      </c>
      <c r="D646" s="175"/>
      <c r="E646" s="175" t="str">
        <f>IF(B646="-","",INDEX('Inventaire M'!$A$2:$AW$9305,MATCH(B646,'Inventaire M'!$A:$A,0)-1,MATCH("Cours EUR",'Inventaire M'!#REF!,0)))</f>
        <v/>
      </c>
      <c r="F646" s="175" t="str">
        <f>IF(B646="-","",IF(ISERROR(INDEX('Inventaire M-1'!$A$2:$AZ$9320,MATCH(B646,'Inventaire M-1'!$A:$A,0)-1,MATCH("Cours EUR",'Inventaire M-1'!#REF!,0))),"Buy",INDEX('Inventaire M-1'!$A$2:$AZ$9320,MATCH(B646,'Inventaire M-1'!$A:$A,0)-1,MATCH("Cours EUR",'Inventaire M-1'!#REF!,0))))</f>
        <v/>
      </c>
      <c r="G646" s="175"/>
      <c r="H646" s="156" t="str">
        <f>IF(B646="-","",INDEX('Inventaire M'!$A$2:$AW$9305,MATCH(B646,'Inventaire M'!$A:$A,0)-1,MATCH("quantite",'Inventaire M'!#REF!,0)))</f>
        <v/>
      </c>
      <c r="I646" s="156" t="str">
        <f>IF(C646="-","",IF(ISERROR(INDEX('Inventaire M-1'!$A$2:$AZ$9320,MATCH(B646,'Inventaire M-1'!$A:$A,0)-1,MATCH("quantite",'Inventaire M-1'!#REF!,0))),"Buy",INDEX('Inventaire M-1'!$A$2:$AZ$9320,MATCH(B646,'Inventaire M-1'!$A:$A,0)-1,MATCH("quantite",'Inventaire M-1'!#REF!,0))))</f>
        <v/>
      </c>
      <c r="J646" s="175"/>
      <c r="K646" s="155" t="str">
        <f>IF(B646="-","",INDEX('Inventaire M'!$A$2:$AW$9305,MATCH(B646,'Inventaire M'!$A:$A,0)-1,MATCH("poids",'Inventaire M'!#REF!,0)))</f>
        <v/>
      </c>
      <c r="L646" s="155" t="str">
        <f>IF(B646="-","",IF(ISERROR(INDEX('Inventaire M-1'!$A$2:$AZ$9320,MATCH(B646,'Inventaire M-1'!$A:$A,0)-1,MATCH("poids",'Inventaire M-1'!#REF!,0))),"Buy",INDEX('Inventaire M-1'!$A$2:$AZ$9320,MATCH(B646,'Inventaire M-1'!$A:$A,0)-1,MATCH("poids",'Inventaire M-1'!#REF!,0))))</f>
        <v/>
      </c>
      <c r="M646" s="175"/>
      <c r="N646" s="157" t="str">
        <f t="shared" si="67"/>
        <v>0</v>
      </c>
      <c r="O646" s="98" t="str">
        <f t="shared" si="66"/>
        <v/>
      </c>
      <c r="P646" s="80" t="str">
        <f t="shared" si="68"/>
        <v>-</v>
      </c>
      <c r="Q646" s="75">
        <v>6.2200000000000001E-8</v>
      </c>
      <c r="R646" s="175" t="str">
        <f>IF(OR('Inventaire M-1'!D398="Dispo/Liquidité Investie",'Inventaire M-1'!D398="Option/Future",'Inventaire M-1'!D398="TCN",'Inventaire M-1'!D398=""),"-",'Inventaire M-1'!A398)</f>
        <v>-</v>
      </c>
      <c r="S646" s="175" t="str">
        <f>IF(OR('Inventaire M-1'!D398="Dispo/Liquidité Investie",'Inventaire M-1'!D398="Option/Future",'Inventaire M-1'!D398="TCN",'Inventaire M-1'!D398=""),"-",'Inventaire M-1'!B398)</f>
        <v>-</v>
      </c>
      <c r="T646" s="175"/>
      <c r="U646" s="175" t="str">
        <f>IF(R646="-","",INDEX('Inventaire M-1'!$A$2:$AG$9334,MATCH(R646,'Inventaire M-1'!$A:$A,0)-1,MATCH("Cours EUR",'Inventaire M-1'!#REF!,0)))</f>
        <v/>
      </c>
      <c r="V646" s="175" t="str">
        <f>IF(R646="-","",IF(ISERROR(INDEX('Inventaire M'!$A$2:$AD$9319,MATCH(R646,'Inventaire M'!$A:$A,0)-1,MATCH("Cours EUR",'Inventaire M'!#REF!,0))),"Sell",INDEX('Inventaire M'!$A$2:$AD$9319,MATCH(R646,'Inventaire M'!$A:$A,0)-1,MATCH("Cours EUR",'Inventaire M'!#REF!,0))))</f>
        <v/>
      </c>
      <c r="W646" s="175"/>
      <c r="X646" s="156" t="str">
        <f>IF(R646="-","",INDEX('Inventaire M-1'!$A$2:$AG$9334,MATCH(R646,'Inventaire M-1'!$A:$A,0)-1,MATCH("quantite",'Inventaire M-1'!#REF!,0)))</f>
        <v/>
      </c>
      <c r="Y646" s="156" t="str">
        <f>IF(S646="-","",IF(ISERROR(INDEX('Inventaire M'!$A$2:$AD$9319,MATCH(R646,'Inventaire M'!$A:$A,0)-1,MATCH("quantite",'Inventaire M'!#REF!,0))),"Sell",INDEX('Inventaire M'!$A$2:$AD$9319,MATCH(R646,'Inventaire M'!$A:$A,0)-1,MATCH("quantite",'Inventaire M'!#REF!,0))))</f>
        <v/>
      </c>
      <c r="Z646" s="175"/>
      <c r="AA646" s="155" t="str">
        <f>IF(R646="-","",INDEX('Inventaire M-1'!$A$2:$AG$9334,MATCH(R646,'Inventaire M-1'!$A:$A,0)-1,MATCH("poids",'Inventaire M-1'!#REF!,0)))</f>
        <v/>
      </c>
      <c r="AB646" s="155" t="str">
        <f>IF(R646="-","",IF(ISERROR(INDEX('Inventaire M'!$A$2:$AD$9319,MATCH(R646,'Inventaire M'!$A:$A,0)-1,MATCH("poids",'Inventaire M'!#REF!,0))),"Sell",INDEX('Inventaire M'!$A$2:$AD$9319,MATCH(R646,'Inventaire M'!$A:$A,0)-1,MATCH("poids",'Inventaire M'!#REF!,0))))</f>
        <v/>
      </c>
      <c r="AC646" s="175"/>
      <c r="AD646" s="157" t="str">
        <f t="shared" si="69"/>
        <v>0</v>
      </c>
      <c r="AE646" s="98" t="str">
        <f t="shared" si="70"/>
        <v/>
      </c>
      <c r="AF646" s="80" t="str">
        <f t="shared" si="71"/>
        <v>-</v>
      </c>
    </row>
    <row r="647" spans="2:32" outlineLevel="1">
      <c r="B647" s="175" t="str">
        <f>IF(OR('Inventaire M'!D420="Dispo/Liquidité Investie",'Inventaire M'!D420="Option/Future",'Inventaire M'!D420="TCN",'Inventaire M'!D420=""),"-",'Inventaire M'!A420)</f>
        <v>-</v>
      </c>
      <c r="C647" s="175" t="str">
        <f>IF(OR('Inventaire M'!D420="Dispo/Liquidité Investie",'Inventaire M'!D420="Option/Future",'Inventaire M'!D420="TCN",'Inventaire M'!D420=""),"-",'Inventaire M'!B420)</f>
        <v>-</v>
      </c>
      <c r="D647" s="175"/>
      <c r="E647" s="175" t="str">
        <f>IF(B647="-","",INDEX('Inventaire M'!$A$2:$AW$9305,MATCH(B647,'Inventaire M'!$A:$A,0)-1,MATCH("Cours EUR",'Inventaire M'!#REF!,0)))</f>
        <v/>
      </c>
      <c r="F647" s="175" t="str">
        <f>IF(B647="-","",IF(ISERROR(INDEX('Inventaire M-1'!$A$2:$AZ$9320,MATCH(B647,'Inventaire M-1'!$A:$A,0)-1,MATCH("Cours EUR",'Inventaire M-1'!#REF!,0))),"Buy",INDEX('Inventaire M-1'!$A$2:$AZ$9320,MATCH(B647,'Inventaire M-1'!$A:$A,0)-1,MATCH("Cours EUR",'Inventaire M-1'!#REF!,0))))</f>
        <v/>
      </c>
      <c r="G647" s="175"/>
      <c r="H647" s="156" t="str">
        <f>IF(B647="-","",INDEX('Inventaire M'!$A$2:$AW$9305,MATCH(B647,'Inventaire M'!$A:$A,0)-1,MATCH("quantite",'Inventaire M'!#REF!,0)))</f>
        <v/>
      </c>
      <c r="I647" s="156" t="str">
        <f>IF(C647="-","",IF(ISERROR(INDEX('Inventaire M-1'!$A$2:$AZ$9320,MATCH(B647,'Inventaire M-1'!$A:$A,0)-1,MATCH("quantite",'Inventaire M-1'!#REF!,0))),"Buy",INDEX('Inventaire M-1'!$A$2:$AZ$9320,MATCH(B647,'Inventaire M-1'!$A:$A,0)-1,MATCH("quantite",'Inventaire M-1'!#REF!,0))))</f>
        <v/>
      </c>
      <c r="J647" s="175"/>
      <c r="K647" s="155" t="str">
        <f>IF(B647="-","",INDEX('Inventaire M'!$A$2:$AW$9305,MATCH(B647,'Inventaire M'!$A:$A,0)-1,MATCH("poids",'Inventaire M'!#REF!,0)))</f>
        <v/>
      </c>
      <c r="L647" s="155" t="str">
        <f>IF(B647="-","",IF(ISERROR(INDEX('Inventaire M-1'!$A$2:$AZ$9320,MATCH(B647,'Inventaire M-1'!$A:$A,0)-1,MATCH("poids",'Inventaire M-1'!#REF!,0))),"Buy",INDEX('Inventaire M-1'!$A$2:$AZ$9320,MATCH(B647,'Inventaire M-1'!$A:$A,0)-1,MATCH("poids",'Inventaire M-1'!#REF!,0))))</f>
        <v/>
      </c>
      <c r="M647" s="175"/>
      <c r="N647" s="157" t="str">
        <f t="shared" si="67"/>
        <v>0</v>
      </c>
      <c r="O647" s="98" t="str">
        <f t="shared" si="66"/>
        <v/>
      </c>
      <c r="P647" s="80" t="str">
        <f t="shared" si="68"/>
        <v>-</v>
      </c>
      <c r="Q647" s="75">
        <v>6.2299999999999995E-8</v>
      </c>
      <c r="R647" s="175" t="str">
        <f>IF(OR('Inventaire M-1'!D399="Dispo/Liquidité Investie",'Inventaire M-1'!D399="Option/Future",'Inventaire M-1'!D399="TCN",'Inventaire M-1'!D399=""),"-",'Inventaire M-1'!A399)</f>
        <v>-</v>
      </c>
      <c r="S647" s="175" t="str">
        <f>IF(OR('Inventaire M-1'!D399="Dispo/Liquidité Investie",'Inventaire M-1'!D399="Option/Future",'Inventaire M-1'!D399="TCN",'Inventaire M-1'!D399=""),"-",'Inventaire M-1'!B399)</f>
        <v>-</v>
      </c>
      <c r="T647" s="175"/>
      <c r="U647" s="175" t="str">
        <f>IF(R647="-","",INDEX('Inventaire M-1'!$A$2:$AG$9334,MATCH(R647,'Inventaire M-1'!$A:$A,0)-1,MATCH("Cours EUR",'Inventaire M-1'!#REF!,0)))</f>
        <v/>
      </c>
      <c r="V647" s="175" t="str">
        <f>IF(R647="-","",IF(ISERROR(INDEX('Inventaire M'!$A$2:$AD$9319,MATCH(R647,'Inventaire M'!$A:$A,0)-1,MATCH("Cours EUR",'Inventaire M'!#REF!,0))),"Sell",INDEX('Inventaire M'!$A$2:$AD$9319,MATCH(R647,'Inventaire M'!$A:$A,0)-1,MATCH("Cours EUR",'Inventaire M'!#REF!,0))))</f>
        <v/>
      </c>
      <c r="W647" s="175"/>
      <c r="X647" s="156" t="str">
        <f>IF(R647="-","",INDEX('Inventaire M-1'!$A$2:$AG$9334,MATCH(R647,'Inventaire M-1'!$A:$A,0)-1,MATCH("quantite",'Inventaire M-1'!#REF!,0)))</f>
        <v/>
      </c>
      <c r="Y647" s="156" t="str">
        <f>IF(S647="-","",IF(ISERROR(INDEX('Inventaire M'!$A$2:$AD$9319,MATCH(R647,'Inventaire M'!$A:$A,0)-1,MATCH("quantite",'Inventaire M'!#REF!,0))),"Sell",INDEX('Inventaire M'!$A$2:$AD$9319,MATCH(R647,'Inventaire M'!$A:$A,0)-1,MATCH("quantite",'Inventaire M'!#REF!,0))))</f>
        <v/>
      </c>
      <c r="Z647" s="175"/>
      <c r="AA647" s="155" t="str">
        <f>IF(R647="-","",INDEX('Inventaire M-1'!$A$2:$AG$9334,MATCH(R647,'Inventaire M-1'!$A:$A,0)-1,MATCH("poids",'Inventaire M-1'!#REF!,0)))</f>
        <v/>
      </c>
      <c r="AB647" s="155" t="str">
        <f>IF(R647="-","",IF(ISERROR(INDEX('Inventaire M'!$A$2:$AD$9319,MATCH(R647,'Inventaire M'!$A:$A,0)-1,MATCH("poids",'Inventaire M'!#REF!,0))),"Sell",INDEX('Inventaire M'!$A$2:$AD$9319,MATCH(R647,'Inventaire M'!$A:$A,0)-1,MATCH("poids",'Inventaire M'!#REF!,0))))</f>
        <v/>
      </c>
      <c r="AC647" s="175"/>
      <c r="AD647" s="157" t="str">
        <f t="shared" si="69"/>
        <v>0</v>
      </c>
      <c r="AE647" s="98" t="str">
        <f t="shared" si="70"/>
        <v/>
      </c>
      <c r="AF647" s="80" t="str">
        <f t="shared" si="71"/>
        <v>-</v>
      </c>
    </row>
    <row r="648" spans="2:32" outlineLevel="1">
      <c r="B648" s="175" t="str">
        <f>IF(OR('Inventaire M'!D421="Dispo/Liquidité Investie",'Inventaire M'!D421="Option/Future",'Inventaire M'!D421="TCN",'Inventaire M'!D421=""),"-",'Inventaire M'!A421)</f>
        <v>-</v>
      </c>
      <c r="C648" s="175" t="str">
        <f>IF(OR('Inventaire M'!D421="Dispo/Liquidité Investie",'Inventaire M'!D421="Option/Future",'Inventaire M'!D421="TCN",'Inventaire M'!D421=""),"-",'Inventaire M'!B421)</f>
        <v>-</v>
      </c>
      <c r="D648" s="175"/>
      <c r="E648" s="175" t="str">
        <f>IF(B648="-","",INDEX('Inventaire M'!$A$2:$AW$9305,MATCH(B648,'Inventaire M'!$A:$A,0)-1,MATCH("Cours EUR",'Inventaire M'!#REF!,0)))</f>
        <v/>
      </c>
      <c r="F648" s="175" t="str">
        <f>IF(B648="-","",IF(ISERROR(INDEX('Inventaire M-1'!$A$2:$AZ$9320,MATCH(B648,'Inventaire M-1'!$A:$A,0)-1,MATCH("Cours EUR",'Inventaire M-1'!#REF!,0))),"Buy",INDEX('Inventaire M-1'!$A$2:$AZ$9320,MATCH(B648,'Inventaire M-1'!$A:$A,0)-1,MATCH("Cours EUR",'Inventaire M-1'!#REF!,0))))</f>
        <v/>
      </c>
      <c r="G648" s="175"/>
      <c r="H648" s="156" t="str">
        <f>IF(B648="-","",INDEX('Inventaire M'!$A$2:$AW$9305,MATCH(B648,'Inventaire M'!$A:$A,0)-1,MATCH("quantite",'Inventaire M'!#REF!,0)))</f>
        <v/>
      </c>
      <c r="I648" s="156" t="str">
        <f>IF(C648="-","",IF(ISERROR(INDEX('Inventaire M-1'!$A$2:$AZ$9320,MATCH(B648,'Inventaire M-1'!$A:$A,0)-1,MATCH("quantite",'Inventaire M-1'!#REF!,0))),"Buy",INDEX('Inventaire M-1'!$A$2:$AZ$9320,MATCH(B648,'Inventaire M-1'!$A:$A,0)-1,MATCH("quantite",'Inventaire M-1'!#REF!,0))))</f>
        <v/>
      </c>
      <c r="J648" s="175"/>
      <c r="K648" s="155" t="str">
        <f>IF(B648="-","",INDEX('Inventaire M'!$A$2:$AW$9305,MATCH(B648,'Inventaire M'!$A:$A,0)-1,MATCH("poids",'Inventaire M'!#REF!,0)))</f>
        <v/>
      </c>
      <c r="L648" s="155" t="str">
        <f>IF(B648="-","",IF(ISERROR(INDEX('Inventaire M-1'!$A$2:$AZ$9320,MATCH(B648,'Inventaire M-1'!$A:$A,0)-1,MATCH("poids",'Inventaire M-1'!#REF!,0))),"Buy",INDEX('Inventaire M-1'!$A$2:$AZ$9320,MATCH(B648,'Inventaire M-1'!$A:$A,0)-1,MATCH("poids",'Inventaire M-1'!#REF!,0))))</f>
        <v/>
      </c>
      <c r="M648" s="175"/>
      <c r="N648" s="157" t="str">
        <f t="shared" si="67"/>
        <v>0</v>
      </c>
      <c r="O648" s="98" t="str">
        <f t="shared" si="66"/>
        <v/>
      </c>
      <c r="P648" s="80" t="str">
        <f t="shared" si="68"/>
        <v>-</v>
      </c>
      <c r="Q648" s="75">
        <v>6.2400000000000003E-8</v>
      </c>
      <c r="R648" s="175" t="str">
        <f>IF(OR('Inventaire M-1'!D400="Dispo/Liquidité Investie",'Inventaire M-1'!D400="Option/Future",'Inventaire M-1'!D400="TCN",'Inventaire M-1'!D400=""),"-",'Inventaire M-1'!A400)</f>
        <v>-</v>
      </c>
      <c r="S648" s="175" t="str">
        <f>IF(OR('Inventaire M-1'!D400="Dispo/Liquidité Investie",'Inventaire M-1'!D400="Option/Future",'Inventaire M-1'!D400="TCN",'Inventaire M-1'!D400=""),"-",'Inventaire M-1'!B400)</f>
        <v>-</v>
      </c>
      <c r="T648" s="175"/>
      <c r="U648" s="175" t="str">
        <f>IF(R648="-","",INDEX('Inventaire M-1'!$A$2:$AG$9334,MATCH(R648,'Inventaire M-1'!$A:$A,0)-1,MATCH("Cours EUR",'Inventaire M-1'!#REF!,0)))</f>
        <v/>
      </c>
      <c r="V648" s="175" t="str">
        <f>IF(R648="-","",IF(ISERROR(INDEX('Inventaire M'!$A$2:$AD$9319,MATCH(R648,'Inventaire M'!$A:$A,0)-1,MATCH("Cours EUR",'Inventaire M'!#REF!,0))),"Sell",INDEX('Inventaire M'!$A$2:$AD$9319,MATCH(R648,'Inventaire M'!$A:$A,0)-1,MATCH("Cours EUR",'Inventaire M'!#REF!,0))))</f>
        <v/>
      </c>
      <c r="W648" s="175"/>
      <c r="X648" s="156" t="str">
        <f>IF(R648="-","",INDEX('Inventaire M-1'!$A$2:$AG$9334,MATCH(R648,'Inventaire M-1'!$A:$A,0)-1,MATCH("quantite",'Inventaire M-1'!#REF!,0)))</f>
        <v/>
      </c>
      <c r="Y648" s="156" t="str">
        <f>IF(S648="-","",IF(ISERROR(INDEX('Inventaire M'!$A$2:$AD$9319,MATCH(R648,'Inventaire M'!$A:$A,0)-1,MATCH("quantite",'Inventaire M'!#REF!,0))),"Sell",INDEX('Inventaire M'!$A$2:$AD$9319,MATCH(R648,'Inventaire M'!$A:$A,0)-1,MATCH("quantite",'Inventaire M'!#REF!,0))))</f>
        <v/>
      </c>
      <c r="Z648" s="175"/>
      <c r="AA648" s="155" t="str">
        <f>IF(R648="-","",INDEX('Inventaire M-1'!$A$2:$AG$9334,MATCH(R648,'Inventaire M-1'!$A:$A,0)-1,MATCH("poids",'Inventaire M-1'!#REF!,0)))</f>
        <v/>
      </c>
      <c r="AB648" s="155" t="str">
        <f>IF(R648="-","",IF(ISERROR(INDEX('Inventaire M'!$A$2:$AD$9319,MATCH(R648,'Inventaire M'!$A:$A,0)-1,MATCH("poids",'Inventaire M'!#REF!,0))),"Sell",INDEX('Inventaire M'!$A$2:$AD$9319,MATCH(R648,'Inventaire M'!$A:$A,0)-1,MATCH("poids",'Inventaire M'!#REF!,0))))</f>
        <v/>
      </c>
      <c r="AC648" s="175"/>
      <c r="AD648" s="157" t="str">
        <f t="shared" si="69"/>
        <v>0</v>
      </c>
      <c r="AE648" s="98" t="str">
        <f t="shared" si="70"/>
        <v/>
      </c>
      <c r="AF648" s="80" t="str">
        <f t="shared" si="71"/>
        <v>-</v>
      </c>
    </row>
    <row r="649" spans="2:32" outlineLevel="1">
      <c r="B649" s="175" t="str">
        <f>IF(OR('Inventaire M'!D422="Dispo/Liquidité Investie",'Inventaire M'!D422="Option/Future",'Inventaire M'!D422="TCN",'Inventaire M'!D422=""),"-",'Inventaire M'!A422)</f>
        <v>-</v>
      </c>
      <c r="C649" s="175" t="str">
        <f>IF(OR('Inventaire M'!D422="Dispo/Liquidité Investie",'Inventaire M'!D422="Option/Future",'Inventaire M'!D422="TCN",'Inventaire M'!D422=""),"-",'Inventaire M'!B422)</f>
        <v>-</v>
      </c>
      <c r="D649" s="175"/>
      <c r="E649" s="175" t="str">
        <f>IF(B649="-","",INDEX('Inventaire M'!$A$2:$AW$9305,MATCH(B649,'Inventaire M'!$A:$A,0)-1,MATCH("Cours EUR",'Inventaire M'!#REF!,0)))</f>
        <v/>
      </c>
      <c r="F649" s="175" t="str">
        <f>IF(B649="-","",IF(ISERROR(INDEX('Inventaire M-1'!$A$2:$AZ$9320,MATCH(B649,'Inventaire M-1'!$A:$A,0)-1,MATCH("Cours EUR",'Inventaire M-1'!#REF!,0))),"Buy",INDEX('Inventaire M-1'!$A$2:$AZ$9320,MATCH(B649,'Inventaire M-1'!$A:$A,0)-1,MATCH("Cours EUR",'Inventaire M-1'!#REF!,0))))</f>
        <v/>
      </c>
      <c r="G649" s="175"/>
      <c r="H649" s="156" t="str">
        <f>IF(B649="-","",INDEX('Inventaire M'!$A$2:$AW$9305,MATCH(B649,'Inventaire M'!$A:$A,0)-1,MATCH("quantite",'Inventaire M'!#REF!,0)))</f>
        <v/>
      </c>
      <c r="I649" s="156" t="str">
        <f>IF(C649="-","",IF(ISERROR(INDEX('Inventaire M-1'!$A$2:$AZ$9320,MATCH(B649,'Inventaire M-1'!$A:$A,0)-1,MATCH("quantite",'Inventaire M-1'!#REF!,0))),"Buy",INDEX('Inventaire M-1'!$A$2:$AZ$9320,MATCH(B649,'Inventaire M-1'!$A:$A,0)-1,MATCH("quantite",'Inventaire M-1'!#REF!,0))))</f>
        <v/>
      </c>
      <c r="J649" s="175"/>
      <c r="K649" s="155" t="str">
        <f>IF(B649="-","",INDEX('Inventaire M'!$A$2:$AW$9305,MATCH(B649,'Inventaire M'!$A:$A,0)-1,MATCH("poids",'Inventaire M'!#REF!,0)))</f>
        <v/>
      </c>
      <c r="L649" s="155" t="str">
        <f>IF(B649="-","",IF(ISERROR(INDEX('Inventaire M-1'!$A$2:$AZ$9320,MATCH(B649,'Inventaire M-1'!$A:$A,0)-1,MATCH("poids",'Inventaire M-1'!#REF!,0))),"Buy",INDEX('Inventaire M-1'!$A$2:$AZ$9320,MATCH(B649,'Inventaire M-1'!$A:$A,0)-1,MATCH("poids",'Inventaire M-1'!#REF!,0))))</f>
        <v/>
      </c>
      <c r="M649" s="175"/>
      <c r="N649" s="157" t="str">
        <f t="shared" si="67"/>
        <v>0</v>
      </c>
      <c r="O649" s="98" t="str">
        <f t="shared" si="66"/>
        <v/>
      </c>
      <c r="P649" s="80" t="str">
        <f t="shared" si="68"/>
        <v>-</v>
      </c>
      <c r="Q649" s="75">
        <v>6.2499999999999997E-8</v>
      </c>
      <c r="R649" s="175" t="str">
        <f>IF(OR('Inventaire M-1'!D401="Dispo/Liquidité Investie",'Inventaire M-1'!D401="Option/Future",'Inventaire M-1'!D401="TCN",'Inventaire M-1'!D401=""),"-",'Inventaire M-1'!A401)</f>
        <v>-</v>
      </c>
      <c r="S649" s="175" t="str">
        <f>IF(OR('Inventaire M-1'!D401="Dispo/Liquidité Investie",'Inventaire M-1'!D401="Option/Future",'Inventaire M-1'!D401="TCN",'Inventaire M-1'!D401=""),"-",'Inventaire M-1'!B401)</f>
        <v>-</v>
      </c>
      <c r="T649" s="175"/>
      <c r="U649" s="175" t="str">
        <f>IF(R649="-","",INDEX('Inventaire M-1'!$A$2:$AG$9334,MATCH(R649,'Inventaire M-1'!$A:$A,0)-1,MATCH("Cours EUR",'Inventaire M-1'!#REF!,0)))</f>
        <v/>
      </c>
      <c r="V649" s="175" t="str">
        <f>IF(R649="-","",IF(ISERROR(INDEX('Inventaire M'!$A$2:$AD$9319,MATCH(R649,'Inventaire M'!$A:$A,0)-1,MATCH("Cours EUR",'Inventaire M'!#REF!,0))),"Sell",INDEX('Inventaire M'!$A$2:$AD$9319,MATCH(R649,'Inventaire M'!$A:$A,0)-1,MATCH("Cours EUR",'Inventaire M'!#REF!,0))))</f>
        <v/>
      </c>
      <c r="W649" s="175"/>
      <c r="X649" s="156" t="str">
        <f>IF(R649="-","",INDEX('Inventaire M-1'!$A$2:$AG$9334,MATCH(R649,'Inventaire M-1'!$A:$A,0)-1,MATCH("quantite",'Inventaire M-1'!#REF!,0)))</f>
        <v/>
      </c>
      <c r="Y649" s="156" t="str">
        <f>IF(S649="-","",IF(ISERROR(INDEX('Inventaire M'!$A$2:$AD$9319,MATCH(R649,'Inventaire M'!$A:$A,0)-1,MATCH("quantite",'Inventaire M'!#REF!,0))),"Sell",INDEX('Inventaire M'!$A$2:$AD$9319,MATCH(R649,'Inventaire M'!$A:$A,0)-1,MATCH("quantite",'Inventaire M'!#REF!,0))))</f>
        <v/>
      </c>
      <c r="Z649" s="175"/>
      <c r="AA649" s="155" t="str">
        <f>IF(R649="-","",INDEX('Inventaire M-1'!$A$2:$AG$9334,MATCH(R649,'Inventaire M-1'!$A:$A,0)-1,MATCH("poids",'Inventaire M-1'!#REF!,0)))</f>
        <v/>
      </c>
      <c r="AB649" s="155" t="str">
        <f>IF(R649="-","",IF(ISERROR(INDEX('Inventaire M'!$A$2:$AD$9319,MATCH(R649,'Inventaire M'!$A:$A,0)-1,MATCH("poids",'Inventaire M'!#REF!,0))),"Sell",INDEX('Inventaire M'!$A$2:$AD$9319,MATCH(R649,'Inventaire M'!$A:$A,0)-1,MATCH("poids",'Inventaire M'!#REF!,0))))</f>
        <v/>
      </c>
      <c r="AC649" s="175"/>
      <c r="AD649" s="157" t="str">
        <f t="shared" si="69"/>
        <v>0</v>
      </c>
      <c r="AE649" s="98" t="str">
        <f t="shared" si="70"/>
        <v/>
      </c>
      <c r="AF649" s="80" t="str">
        <f t="shared" si="71"/>
        <v>-</v>
      </c>
    </row>
    <row r="650" spans="2:32" outlineLevel="1">
      <c r="B650" s="175" t="str">
        <f>IF(OR('Inventaire M'!D423="Dispo/Liquidité Investie",'Inventaire M'!D423="Option/Future",'Inventaire M'!D423="TCN",'Inventaire M'!D423=""),"-",'Inventaire M'!A423)</f>
        <v>-</v>
      </c>
      <c r="C650" s="175" t="str">
        <f>IF(OR('Inventaire M'!D423="Dispo/Liquidité Investie",'Inventaire M'!D423="Option/Future",'Inventaire M'!D423="TCN",'Inventaire M'!D423=""),"-",'Inventaire M'!B423)</f>
        <v>-</v>
      </c>
      <c r="D650" s="175"/>
      <c r="E650" s="175" t="str">
        <f>IF(B650="-","",INDEX('Inventaire M'!$A$2:$AW$9305,MATCH(B650,'Inventaire M'!$A:$A,0)-1,MATCH("Cours EUR",'Inventaire M'!#REF!,0)))</f>
        <v/>
      </c>
      <c r="F650" s="175" t="str">
        <f>IF(B650="-","",IF(ISERROR(INDEX('Inventaire M-1'!$A$2:$AZ$9320,MATCH(B650,'Inventaire M-1'!$A:$A,0)-1,MATCH("Cours EUR",'Inventaire M-1'!#REF!,0))),"Buy",INDEX('Inventaire M-1'!$A$2:$AZ$9320,MATCH(B650,'Inventaire M-1'!$A:$A,0)-1,MATCH("Cours EUR",'Inventaire M-1'!#REF!,0))))</f>
        <v/>
      </c>
      <c r="G650" s="175"/>
      <c r="H650" s="156" t="str">
        <f>IF(B650="-","",INDEX('Inventaire M'!$A$2:$AW$9305,MATCH(B650,'Inventaire M'!$A:$A,0)-1,MATCH("quantite",'Inventaire M'!#REF!,0)))</f>
        <v/>
      </c>
      <c r="I650" s="156" t="str">
        <f>IF(C650="-","",IF(ISERROR(INDEX('Inventaire M-1'!$A$2:$AZ$9320,MATCH(B650,'Inventaire M-1'!$A:$A,0)-1,MATCH("quantite",'Inventaire M-1'!#REF!,0))),"Buy",INDEX('Inventaire M-1'!$A$2:$AZ$9320,MATCH(B650,'Inventaire M-1'!$A:$A,0)-1,MATCH("quantite",'Inventaire M-1'!#REF!,0))))</f>
        <v/>
      </c>
      <c r="J650" s="175"/>
      <c r="K650" s="155" t="str">
        <f>IF(B650="-","",INDEX('Inventaire M'!$A$2:$AW$9305,MATCH(B650,'Inventaire M'!$A:$A,0)-1,MATCH("poids",'Inventaire M'!#REF!,0)))</f>
        <v/>
      </c>
      <c r="L650" s="155" t="str">
        <f>IF(B650="-","",IF(ISERROR(INDEX('Inventaire M-1'!$A$2:$AZ$9320,MATCH(B650,'Inventaire M-1'!$A:$A,0)-1,MATCH("poids",'Inventaire M-1'!#REF!,0))),"Buy",INDEX('Inventaire M-1'!$A$2:$AZ$9320,MATCH(B650,'Inventaire M-1'!$A:$A,0)-1,MATCH("poids",'Inventaire M-1'!#REF!,0))))</f>
        <v/>
      </c>
      <c r="M650" s="175"/>
      <c r="N650" s="157" t="str">
        <f t="shared" si="67"/>
        <v>0</v>
      </c>
      <c r="O650" s="98" t="str">
        <f t="shared" si="66"/>
        <v/>
      </c>
      <c r="P650" s="80" t="str">
        <f t="shared" si="68"/>
        <v>-</v>
      </c>
      <c r="Q650" s="75">
        <v>6.2600000000000005E-8</v>
      </c>
      <c r="R650" s="175" t="str">
        <f>IF(OR('Inventaire M-1'!D402="Dispo/Liquidité Investie",'Inventaire M-1'!D402="Option/Future",'Inventaire M-1'!D402="TCN",'Inventaire M-1'!D402=""),"-",'Inventaire M-1'!A402)</f>
        <v>-</v>
      </c>
      <c r="S650" s="175" t="str">
        <f>IF(OR('Inventaire M-1'!D402="Dispo/Liquidité Investie",'Inventaire M-1'!D402="Option/Future",'Inventaire M-1'!D402="TCN",'Inventaire M-1'!D402=""),"-",'Inventaire M-1'!B402)</f>
        <v>-</v>
      </c>
      <c r="T650" s="175"/>
      <c r="U650" s="175" t="str">
        <f>IF(R650="-","",INDEX('Inventaire M-1'!$A$2:$AG$9334,MATCH(R650,'Inventaire M-1'!$A:$A,0)-1,MATCH("Cours EUR",'Inventaire M-1'!#REF!,0)))</f>
        <v/>
      </c>
      <c r="V650" s="175" t="str">
        <f>IF(R650="-","",IF(ISERROR(INDEX('Inventaire M'!$A$2:$AD$9319,MATCH(R650,'Inventaire M'!$A:$A,0)-1,MATCH("Cours EUR",'Inventaire M'!#REF!,0))),"Sell",INDEX('Inventaire M'!$A$2:$AD$9319,MATCH(R650,'Inventaire M'!$A:$A,0)-1,MATCH("Cours EUR",'Inventaire M'!#REF!,0))))</f>
        <v/>
      </c>
      <c r="W650" s="175"/>
      <c r="X650" s="156" t="str">
        <f>IF(R650="-","",INDEX('Inventaire M-1'!$A$2:$AG$9334,MATCH(R650,'Inventaire M-1'!$A:$A,0)-1,MATCH("quantite",'Inventaire M-1'!#REF!,0)))</f>
        <v/>
      </c>
      <c r="Y650" s="156" t="str">
        <f>IF(S650="-","",IF(ISERROR(INDEX('Inventaire M'!$A$2:$AD$9319,MATCH(R650,'Inventaire M'!$A:$A,0)-1,MATCH("quantite",'Inventaire M'!#REF!,0))),"Sell",INDEX('Inventaire M'!$A$2:$AD$9319,MATCH(R650,'Inventaire M'!$A:$A,0)-1,MATCH("quantite",'Inventaire M'!#REF!,0))))</f>
        <v/>
      </c>
      <c r="Z650" s="175"/>
      <c r="AA650" s="155" t="str">
        <f>IF(R650="-","",INDEX('Inventaire M-1'!$A$2:$AG$9334,MATCH(R650,'Inventaire M-1'!$A:$A,0)-1,MATCH("poids",'Inventaire M-1'!#REF!,0)))</f>
        <v/>
      </c>
      <c r="AB650" s="155" t="str">
        <f>IF(R650="-","",IF(ISERROR(INDEX('Inventaire M'!$A$2:$AD$9319,MATCH(R650,'Inventaire M'!$A:$A,0)-1,MATCH("poids",'Inventaire M'!#REF!,0))),"Sell",INDEX('Inventaire M'!$A$2:$AD$9319,MATCH(R650,'Inventaire M'!$A:$A,0)-1,MATCH("poids",'Inventaire M'!#REF!,0))))</f>
        <v/>
      </c>
      <c r="AC650" s="175"/>
      <c r="AD650" s="157" t="str">
        <f t="shared" si="69"/>
        <v>0</v>
      </c>
      <c r="AE650" s="98" t="str">
        <f t="shared" si="70"/>
        <v/>
      </c>
      <c r="AF650" s="80" t="str">
        <f t="shared" si="71"/>
        <v>-</v>
      </c>
    </row>
    <row r="651" spans="2:32" outlineLevel="1">
      <c r="B651" s="175" t="str">
        <f>IF(OR('Inventaire M'!D424="Dispo/Liquidité Investie",'Inventaire M'!D424="Option/Future",'Inventaire M'!D424="TCN",'Inventaire M'!D424=""),"-",'Inventaire M'!A424)</f>
        <v>-</v>
      </c>
      <c r="C651" s="175" t="str">
        <f>IF(OR('Inventaire M'!D424="Dispo/Liquidité Investie",'Inventaire M'!D424="Option/Future",'Inventaire M'!D424="TCN",'Inventaire M'!D424=""),"-",'Inventaire M'!B424)</f>
        <v>-</v>
      </c>
      <c r="D651" s="175"/>
      <c r="E651" s="175" t="str">
        <f>IF(B651="-","",INDEX('Inventaire M'!$A$2:$AW$9305,MATCH(B651,'Inventaire M'!$A:$A,0)-1,MATCH("Cours EUR",'Inventaire M'!#REF!,0)))</f>
        <v/>
      </c>
      <c r="F651" s="175" t="str">
        <f>IF(B651="-","",IF(ISERROR(INDEX('Inventaire M-1'!$A$2:$AZ$9320,MATCH(B651,'Inventaire M-1'!$A:$A,0)-1,MATCH("Cours EUR",'Inventaire M-1'!#REF!,0))),"Buy",INDEX('Inventaire M-1'!$A$2:$AZ$9320,MATCH(B651,'Inventaire M-1'!$A:$A,0)-1,MATCH("Cours EUR",'Inventaire M-1'!#REF!,0))))</f>
        <v/>
      </c>
      <c r="G651" s="175"/>
      <c r="H651" s="156" t="str">
        <f>IF(B651="-","",INDEX('Inventaire M'!$A$2:$AW$9305,MATCH(B651,'Inventaire M'!$A:$A,0)-1,MATCH("quantite",'Inventaire M'!#REF!,0)))</f>
        <v/>
      </c>
      <c r="I651" s="156" t="str">
        <f>IF(C651="-","",IF(ISERROR(INDEX('Inventaire M-1'!$A$2:$AZ$9320,MATCH(B651,'Inventaire M-1'!$A:$A,0)-1,MATCH("quantite",'Inventaire M-1'!#REF!,0))),"Buy",INDEX('Inventaire M-1'!$A$2:$AZ$9320,MATCH(B651,'Inventaire M-1'!$A:$A,0)-1,MATCH("quantite",'Inventaire M-1'!#REF!,0))))</f>
        <v/>
      </c>
      <c r="J651" s="175"/>
      <c r="K651" s="155" t="str">
        <f>IF(B651="-","",INDEX('Inventaire M'!$A$2:$AW$9305,MATCH(B651,'Inventaire M'!$A:$A,0)-1,MATCH("poids",'Inventaire M'!#REF!,0)))</f>
        <v/>
      </c>
      <c r="L651" s="155" t="str">
        <f>IF(B651="-","",IF(ISERROR(INDEX('Inventaire M-1'!$A$2:$AZ$9320,MATCH(B651,'Inventaire M-1'!$A:$A,0)-1,MATCH("poids",'Inventaire M-1'!#REF!,0))),"Buy",INDEX('Inventaire M-1'!$A$2:$AZ$9320,MATCH(B651,'Inventaire M-1'!$A:$A,0)-1,MATCH("poids",'Inventaire M-1'!#REF!,0))))</f>
        <v/>
      </c>
      <c r="M651" s="175"/>
      <c r="N651" s="157" t="str">
        <f t="shared" si="67"/>
        <v>0</v>
      </c>
      <c r="O651" s="98" t="str">
        <f t="shared" si="66"/>
        <v/>
      </c>
      <c r="P651" s="80" t="str">
        <f t="shared" si="68"/>
        <v>-</v>
      </c>
      <c r="Q651" s="75">
        <v>6.2699999999999999E-8</v>
      </c>
      <c r="R651" s="175" t="str">
        <f>IF(OR('Inventaire M-1'!D403="Dispo/Liquidité Investie",'Inventaire M-1'!D403="Option/Future",'Inventaire M-1'!D403="TCN",'Inventaire M-1'!D403=""),"-",'Inventaire M-1'!A403)</f>
        <v>-</v>
      </c>
      <c r="S651" s="175" t="str">
        <f>IF(OR('Inventaire M-1'!D403="Dispo/Liquidité Investie",'Inventaire M-1'!D403="Option/Future",'Inventaire M-1'!D403="TCN",'Inventaire M-1'!D403=""),"-",'Inventaire M-1'!B403)</f>
        <v>-</v>
      </c>
      <c r="T651" s="175"/>
      <c r="U651" s="175" t="str">
        <f>IF(R651="-","",INDEX('Inventaire M-1'!$A$2:$AG$9334,MATCH(R651,'Inventaire M-1'!$A:$A,0)-1,MATCH("Cours EUR",'Inventaire M-1'!#REF!,0)))</f>
        <v/>
      </c>
      <c r="V651" s="175" t="str">
        <f>IF(R651="-","",IF(ISERROR(INDEX('Inventaire M'!$A$2:$AD$9319,MATCH(R651,'Inventaire M'!$A:$A,0)-1,MATCH("Cours EUR",'Inventaire M'!#REF!,0))),"Sell",INDEX('Inventaire M'!$A$2:$AD$9319,MATCH(R651,'Inventaire M'!$A:$A,0)-1,MATCH("Cours EUR",'Inventaire M'!#REF!,0))))</f>
        <v/>
      </c>
      <c r="W651" s="175"/>
      <c r="X651" s="156" t="str">
        <f>IF(R651="-","",INDEX('Inventaire M-1'!$A$2:$AG$9334,MATCH(R651,'Inventaire M-1'!$A:$A,0)-1,MATCH("quantite",'Inventaire M-1'!#REF!,0)))</f>
        <v/>
      </c>
      <c r="Y651" s="156" t="str">
        <f>IF(S651="-","",IF(ISERROR(INDEX('Inventaire M'!$A$2:$AD$9319,MATCH(R651,'Inventaire M'!$A:$A,0)-1,MATCH("quantite",'Inventaire M'!#REF!,0))),"Sell",INDEX('Inventaire M'!$A$2:$AD$9319,MATCH(R651,'Inventaire M'!$A:$A,0)-1,MATCH("quantite",'Inventaire M'!#REF!,0))))</f>
        <v/>
      </c>
      <c r="Z651" s="175"/>
      <c r="AA651" s="155" t="str">
        <f>IF(R651="-","",INDEX('Inventaire M-1'!$A$2:$AG$9334,MATCH(R651,'Inventaire M-1'!$A:$A,0)-1,MATCH("poids",'Inventaire M-1'!#REF!,0)))</f>
        <v/>
      </c>
      <c r="AB651" s="155" t="str">
        <f>IF(R651="-","",IF(ISERROR(INDEX('Inventaire M'!$A$2:$AD$9319,MATCH(R651,'Inventaire M'!$A:$A,0)-1,MATCH("poids",'Inventaire M'!#REF!,0))),"Sell",INDEX('Inventaire M'!$A$2:$AD$9319,MATCH(R651,'Inventaire M'!$A:$A,0)-1,MATCH("poids",'Inventaire M'!#REF!,0))))</f>
        <v/>
      </c>
      <c r="AC651" s="175"/>
      <c r="AD651" s="157" t="str">
        <f t="shared" si="69"/>
        <v>0</v>
      </c>
      <c r="AE651" s="98" t="str">
        <f t="shared" si="70"/>
        <v/>
      </c>
      <c r="AF651" s="80" t="str">
        <f t="shared" si="71"/>
        <v>-</v>
      </c>
    </row>
    <row r="652" spans="2:32" outlineLevel="1">
      <c r="B652" s="175" t="str">
        <f>IF(OR('Inventaire M'!D425="Dispo/Liquidité Investie",'Inventaire M'!D425="Option/Future",'Inventaire M'!D425="TCN",'Inventaire M'!D425=""),"-",'Inventaire M'!A425)</f>
        <v>-</v>
      </c>
      <c r="C652" s="175" t="str">
        <f>IF(OR('Inventaire M'!D425="Dispo/Liquidité Investie",'Inventaire M'!D425="Option/Future",'Inventaire M'!D425="TCN",'Inventaire M'!D425=""),"-",'Inventaire M'!B425)</f>
        <v>-</v>
      </c>
      <c r="D652" s="175"/>
      <c r="E652" s="175" t="str">
        <f>IF(B652="-","",INDEX('Inventaire M'!$A$2:$AW$9305,MATCH(B652,'Inventaire M'!$A:$A,0)-1,MATCH("Cours EUR",'Inventaire M'!#REF!,0)))</f>
        <v/>
      </c>
      <c r="F652" s="175" t="str">
        <f>IF(B652="-","",IF(ISERROR(INDEX('Inventaire M-1'!$A$2:$AZ$9320,MATCH(B652,'Inventaire M-1'!$A:$A,0)-1,MATCH("Cours EUR",'Inventaire M-1'!#REF!,0))),"Buy",INDEX('Inventaire M-1'!$A$2:$AZ$9320,MATCH(B652,'Inventaire M-1'!$A:$A,0)-1,MATCH("Cours EUR",'Inventaire M-1'!#REF!,0))))</f>
        <v/>
      </c>
      <c r="G652" s="175"/>
      <c r="H652" s="156" t="str">
        <f>IF(B652="-","",INDEX('Inventaire M'!$A$2:$AW$9305,MATCH(B652,'Inventaire M'!$A:$A,0)-1,MATCH("quantite",'Inventaire M'!#REF!,0)))</f>
        <v/>
      </c>
      <c r="I652" s="156" t="str">
        <f>IF(C652="-","",IF(ISERROR(INDEX('Inventaire M-1'!$A$2:$AZ$9320,MATCH(B652,'Inventaire M-1'!$A:$A,0)-1,MATCH("quantite",'Inventaire M-1'!#REF!,0))),"Buy",INDEX('Inventaire M-1'!$A$2:$AZ$9320,MATCH(B652,'Inventaire M-1'!$A:$A,0)-1,MATCH("quantite",'Inventaire M-1'!#REF!,0))))</f>
        <v/>
      </c>
      <c r="J652" s="175"/>
      <c r="K652" s="155" t="str">
        <f>IF(B652="-","",INDEX('Inventaire M'!$A$2:$AW$9305,MATCH(B652,'Inventaire M'!$A:$A,0)-1,MATCH("poids",'Inventaire M'!#REF!,0)))</f>
        <v/>
      </c>
      <c r="L652" s="155" t="str">
        <f>IF(B652="-","",IF(ISERROR(INDEX('Inventaire M-1'!$A$2:$AZ$9320,MATCH(B652,'Inventaire M-1'!$A:$A,0)-1,MATCH("poids",'Inventaire M-1'!#REF!,0))),"Buy",INDEX('Inventaire M-1'!$A$2:$AZ$9320,MATCH(B652,'Inventaire M-1'!$A:$A,0)-1,MATCH("poids",'Inventaire M-1'!#REF!,0))))</f>
        <v/>
      </c>
      <c r="M652" s="175"/>
      <c r="N652" s="157" t="str">
        <f t="shared" si="67"/>
        <v>0</v>
      </c>
      <c r="O652" s="98" t="str">
        <f t="shared" si="66"/>
        <v/>
      </c>
      <c r="P652" s="80" t="str">
        <f t="shared" si="68"/>
        <v>-</v>
      </c>
      <c r="Q652" s="75">
        <v>6.2800000000000006E-8</v>
      </c>
      <c r="R652" s="175" t="str">
        <f>IF(OR('Inventaire M-1'!D404="Dispo/Liquidité Investie",'Inventaire M-1'!D404="Option/Future",'Inventaire M-1'!D404="TCN",'Inventaire M-1'!D404=""),"-",'Inventaire M-1'!A404)</f>
        <v>-</v>
      </c>
      <c r="S652" s="175" t="str">
        <f>IF(OR('Inventaire M-1'!D404="Dispo/Liquidité Investie",'Inventaire M-1'!D404="Option/Future",'Inventaire M-1'!D404="TCN",'Inventaire M-1'!D404=""),"-",'Inventaire M-1'!B404)</f>
        <v>-</v>
      </c>
      <c r="T652" s="175"/>
      <c r="U652" s="175" t="str">
        <f>IF(R652="-","",INDEX('Inventaire M-1'!$A$2:$AG$9334,MATCH(R652,'Inventaire M-1'!$A:$A,0)-1,MATCH("Cours EUR",'Inventaire M-1'!#REF!,0)))</f>
        <v/>
      </c>
      <c r="V652" s="175" t="str">
        <f>IF(R652="-","",IF(ISERROR(INDEX('Inventaire M'!$A$2:$AD$9319,MATCH(R652,'Inventaire M'!$A:$A,0)-1,MATCH("Cours EUR",'Inventaire M'!#REF!,0))),"Sell",INDEX('Inventaire M'!$A$2:$AD$9319,MATCH(R652,'Inventaire M'!$A:$A,0)-1,MATCH("Cours EUR",'Inventaire M'!#REF!,0))))</f>
        <v/>
      </c>
      <c r="W652" s="175"/>
      <c r="X652" s="156" t="str">
        <f>IF(R652="-","",INDEX('Inventaire M-1'!$A$2:$AG$9334,MATCH(R652,'Inventaire M-1'!$A:$A,0)-1,MATCH("quantite",'Inventaire M-1'!#REF!,0)))</f>
        <v/>
      </c>
      <c r="Y652" s="156" t="str">
        <f>IF(S652="-","",IF(ISERROR(INDEX('Inventaire M'!$A$2:$AD$9319,MATCH(R652,'Inventaire M'!$A:$A,0)-1,MATCH("quantite",'Inventaire M'!#REF!,0))),"Sell",INDEX('Inventaire M'!$A$2:$AD$9319,MATCH(R652,'Inventaire M'!$A:$A,0)-1,MATCH("quantite",'Inventaire M'!#REF!,0))))</f>
        <v/>
      </c>
      <c r="Z652" s="175"/>
      <c r="AA652" s="155" t="str">
        <f>IF(R652="-","",INDEX('Inventaire M-1'!$A$2:$AG$9334,MATCH(R652,'Inventaire M-1'!$A:$A,0)-1,MATCH("poids",'Inventaire M-1'!#REF!,0)))</f>
        <v/>
      </c>
      <c r="AB652" s="155" t="str">
        <f>IF(R652="-","",IF(ISERROR(INDEX('Inventaire M'!$A$2:$AD$9319,MATCH(R652,'Inventaire M'!$A:$A,0)-1,MATCH("poids",'Inventaire M'!#REF!,0))),"Sell",INDEX('Inventaire M'!$A$2:$AD$9319,MATCH(R652,'Inventaire M'!$A:$A,0)-1,MATCH("poids",'Inventaire M'!#REF!,0))))</f>
        <v/>
      </c>
      <c r="AC652" s="175"/>
      <c r="AD652" s="157" t="str">
        <f t="shared" si="69"/>
        <v>0</v>
      </c>
      <c r="AE652" s="98" t="str">
        <f t="shared" si="70"/>
        <v/>
      </c>
      <c r="AF652" s="80" t="str">
        <f t="shared" si="71"/>
        <v>-</v>
      </c>
    </row>
    <row r="653" spans="2:32" outlineLevel="1">
      <c r="B653" s="175" t="str">
        <f>IF(OR('Inventaire M'!D426="Dispo/Liquidité Investie",'Inventaire M'!D426="Option/Future",'Inventaire M'!D426="TCN",'Inventaire M'!D426=""),"-",'Inventaire M'!A426)</f>
        <v>-</v>
      </c>
      <c r="C653" s="175" t="str">
        <f>IF(OR('Inventaire M'!D426="Dispo/Liquidité Investie",'Inventaire M'!D426="Option/Future",'Inventaire M'!D426="TCN",'Inventaire M'!D426=""),"-",'Inventaire M'!B426)</f>
        <v>-</v>
      </c>
      <c r="D653" s="175"/>
      <c r="E653" s="175" t="str">
        <f>IF(B653="-","",INDEX('Inventaire M'!$A$2:$AW$9305,MATCH(B653,'Inventaire M'!$A:$A,0)-1,MATCH("Cours EUR",'Inventaire M'!#REF!,0)))</f>
        <v/>
      </c>
      <c r="F653" s="175" t="str">
        <f>IF(B653="-","",IF(ISERROR(INDEX('Inventaire M-1'!$A$2:$AZ$9320,MATCH(B653,'Inventaire M-1'!$A:$A,0)-1,MATCH("Cours EUR",'Inventaire M-1'!#REF!,0))),"Buy",INDEX('Inventaire M-1'!$A$2:$AZ$9320,MATCH(B653,'Inventaire M-1'!$A:$A,0)-1,MATCH("Cours EUR",'Inventaire M-1'!#REF!,0))))</f>
        <v/>
      </c>
      <c r="G653" s="175"/>
      <c r="H653" s="156" t="str">
        <f>IF(B653="-","",INDEX('Inventaire M'!$A$2:$AW$9305,MATCH(B653,'Inventaire M'!$A:$A,0)-1,MATCH("quantite",'Inventaire M'!#REF!,0)))</f>
        <v/>
      </c>
      <c r="I653" s="156" t="str">
        <f>IF(C653="-","",IF(ISERROR(INDEX('Inventaire M-1'!$A$2:$AZ$9320,MATCH(B653,'Inventaire M-1'!$A:$A,0)-1,MATCH("quantite",'Inventaire M-1'!#REF!,0))),"Buy",INDEX('Inventaire M-1'!$A$2:$AZ$9320,MATCH(B653,'Inventaire M-1'!$A:$A,0)-1,MATCH("quantite",'Inventaire M-1'!#REF!,0))))</f>
        <v/>
      </c>
      <c r="J653" s="175"/>
      <c r="K653" s="155" t="str">
        <f>IF(B653="-","",INDEX('Inventaire M'!$A$2:$AW$9305,MATCH(B653,'Inventaire M'!$A:$A,0)-1,MATCH("poids",'Inventaire M'!#REF!,0)))</f>
        <v/>
      </c>
      <c r="L653" s="155" t="str">
        <f>IF(B653="-","",IF(ISERROR(INDEX('Inventaire M-1'!$A$2:$AZ$9320,MATCH(B653,'Inventaire M-1'!$A:$A,0)-1,MATCH("poids",'Inventaire M-1'!#REF!,0))),"Buy",INDEX('Inventaire M-1'!$A$2:$AZ$9320,MATCH(B653,'Inventaire M-1'!$A:$A,0)-1,MATCH("poids",'Inventaire M-1'!#REF!,0))))</f>
        <v/>
      </c>
      <c r="M653" s="175"/>
      <c r="N653" s="157" t="str">
        <f t="shared" si="67"/>
        <v>0</v>
      </c>
      <c r="O653" s="98" t="str">
        <f t="shared" si="66"/>
        <v/>
      </c>
      <c r="P653" s="80" t="str">
        <f t="shared" si="68"/>
        <v>-</v>
      </c>
      <c r="Q653" s="75">
        <v>6.2900000000000001E-8</v>
      </c>
      <c r="R653" s="175" t="str">
        <f>IF(OR('Inventaire M-1'!D405="Dispo/Liquidité Investie",'Inventaire M-1'!D405="Option/Future",'Inventaire M-1'!D405="TCN",'Inventaire M-1'!D405=""),"-",'Inventaire M-1'!A405)</f>
        <v>-</v>
      </c>
      <c r="S653" s="175" t="str">
        <f>IF(OR('Inventaire M-1'!D405="Dispo/Liquidité Investie",'Inventaire M-1'!D405="Option/Future",'Inventaire M-1'!D405="TCN",'Inventaire M-1'!D405=""),"-",'Inventaire M-1'!B405)</f>
        <v>-</v>
      </c>
      <c r="T653" s="175"/>
      <c r="U653" s="175" t="str">
        <f>IF(R653="-","",INDEX('Inventaire M-1'!$A$2:$AG$9334,MATCH(R653,'Inventaire M-1'!$A:$A,0)-1,MATCH("Cours EUR",'Inventaire M-1'!#REF!,0)))</f>
        <v/>
      </c>
      <c r="V653" s="175" t="str">
        <f>IF(R653="-","",IF(ISERROR(INDEX('Inventaire M'!$A$2:$AD$9319,MATCH(R653,'Inventaire M'!$A:$A,0)-1,MATCH("Cours EUR",'Inventaire M'!#REF!,0))),"Sell",INDEX('Inventaire M'!$A$2:$AD$9319,MATCH(R653,'Inventaire M'!$A:$A,0)-1,MATCH("Cours EUR",'Inventaire M'!#REF!,0))))</f>
        <v/>
      </c>
      <c r="W653" s="175"/>
      <c r="X653" s="156" t="str">
        <f>IF(R653="-","",INDEX('Inventaire M-1'!$A$2:$AG$9334,MATCH(R653,'Inventaire M-1'!$A:$A,0)-1,MATCH("quantite",'Inventaire M-1'!#REF!,0)))</f>
        <v/>
      </c>
      <c r="Y653" s="156" t="str">
        <f>IF(S653="-","",IF(ISERROR(INDEX('Inventaire M'!$A$2:$AD$9319,MATCH(R653,'Inventaire M'!$A:$A,0)-1,MATCH("quantite",'Inventaire M'!#REF!,0))),"Sell",INDEX('Inventaire M'!$A$2:$AD$9319,MATCH(R653,'Inventaire M'!$A:$A,0)-1,MATCH("quantite",'Inventaire M'!#REF!,0))))</f>
        <v/>
      </c>
      <c r="Z653" s="175"/>
      <c r="AA653" s="155" t="str">
        <f>IF(R653="-","",INDEX('Inventaire M-1'!$A$2:$AG$9334,MATCH(R653,'Inventaire M-1'!$A:$A,0)-1,MATCH("poids",'Inventaire M-1'!#REF!,0)))</f>
        <v/>
      </c>
      <c r="AB653" s="155" t="str">
        <f>IF(R653="-","",IF(ISERROR(INDEX('Inventaire M'!$A$2:$AD$9319,MATCH(R653,'Inventaire M'!$A:$A,0)-1,MATCH("poids",'Inventaire M'!#REF!,0))),"Sell",INDEX('Inventaire M'!$A$2:$AD$9319,MATCH(R653,'Inventaire M'!$A:$A,0)-1,MATCH("poids",'Inventaire M'!#REF!,0))))</f>
        <v/>
      </c>
      <c r="AC653" s="175"/>
      <c r="AD653" s="157" t="str">
        <f t="shared" si="69"/>
        <v>0</v>
      </c>
      <c r="AE653" s="98" t="str">
        <f t="shared" si="70"/>
        <v/>
      </c>
      <c r="AF653" s="80" t="str">
        <f t="shared" si="71"/>
        <v>-</v>
      </c>
    </row>
    <row r="654" spans="2:32" outlineLevel="1">
      <c r="B654" s="175" t="str">
        <f>IF(OR('Inventaire M'!D427="Dispo/Liquidité Investie",'Inventaire M'!D427="Option/Future",'Inventaire M'!D427="TCN",'Inventaire M'!D427=""),"-",'Inventaire M'!A427)</f>
        <v>-</v>
      </c>
      <c r="C654" s="175" t="str">
        <f>IF(OR('Inventaire M'!D427="Dispo/Liquidité Investie",'Inventaire M'!D427="Option/Future",'Inventaire M'!D427="TCN",'Inventaire M'!D427=""),"-",'Inventaire M'!B427)</f>
        <v>-</v>
      </c>
      <c r="D654" s="175"/>
      <c r="E654" s="175" t="str">
        <f>IF(B654="-","",INDEX('Inventaire M'!$A$2:$AW$9305,MATCH(B654,'Inventaire M'!$A:$A,0)-1,MATCH("Cours EUR",'Inventaire M'!#REF!,0)))</f>
        <v/>
      </c>
      <c r="F654" s="175" t="str">
        <f>IF(B654="-","",IF(ISERROR(INDEX('Inventaire M-1'!$A$2:$AZ$9320,MATCH(B654,'Inventaire M-1'!$A:$A,0)-1,MATCH("Cours EUR",'Inventaire M-1'!#REF!,0))),"Buy",INDEX('Inventaire M-1'!$A$2:$AZ$9320,MATCH(B654,'Inventaire M-1'!$A:$A,0)-1,MATCH("Cours EUR",'Inventaire M-1'!#REF!,0))))</f>
        <v/>
      </c>
      <c r="G654" s="175"/>
      <c r="H654" s="156" t="str">
        <f>IF(B654="-","",INDEX('Inventaire M'!$A$2:$AW$9305,MATCH(B654,'Inventaire M'!$A:$A,0)-1,MATCH("quantite",'Inventaire M'!#REF!,0)))</f>
        <v/>
      </c>
      <c r="I654" s="156" t="str">
        <f>IF(C654="-","",IF(ISERROR(INDEX('Inventaire M-1'!$A$2:$AZ$9320,MATCH(B654,'Inventaire M-1'!$A:$A,0)-1,MATCH("quantite",'Inventaire M-1'!#REF!,0))),"Buy",INDEX('Inventaire M-1'!$A$2:$AZ$9320,MATCH(B654,'Inventaire M-1'!$A:$A,0)-1,MATCH("quantite",'Inventaire M-1'!#REF!,0))))</f>
        <v/>
      </c>
      <c r="J654" s="175"/>
      <c r="K654" s="155" t="str">
        <f>IF(B654="-","",INDEX('Inventaire M'!$A$2:$AW$9305,MATCH(B654,'Inventaire M'!$A:$A,0)-1,MATCH("poids",'Inventaire M'!#REF!,0)))</f>
        <v/>
      </c>
      <c r="L654" s="155" t="str">
        <f>IF(B654="-","",IF(ISERROR(INDEX('Inventaire M-1'!$A$2:$AZ$9320,MATCH(B654,'Inventaire M-1'!$A:$A,0)-1,MATCH("poids",'Inventaire M-1'!#REF!,0))),"Buy",INDEX('Inventaire M-1'!$A$2:$AZ$9320,MATCH(B654,'Inventaire M-1'!$A:$A,0)-1,MATCH("poids",'Inventaire M-1'!#REF!,0))))</f>
        <v/>
      </c>
      <c r="M654" s="175"/>
      <c r="N654" s="157" t="str">
        <f t="shared" si="67"/>
        <v>0</v>
      </c>
      <c r="O654" s="98" t="str">
        <f t="shared" si="66"/>
        <v/>
      </c>
      <c r="P654" s="80" t="str">
        <f t="shared" si="68"/>
        <v>-</v>
      </c>
      <c r="Q654" s="75">
        <v>6.2999999999999995E-8</v>
      </c>
      <c r="R654" s="175" t="str">
        <f>IF(OR('Inventaire M-1'!D406="Dispo/Liquidité Investie",'Inventaire M-1'!D406="Option/Future",'Inventaire M-1'!D406="TCN",'Inventaire M-1'!D406=""),"-",'Inventaire M-1'!A406)</f>
        <v>-</v>
      </c>
      <c r="S654" s="175" t="str">
        <f>IF(OR('Inventaire M-1'!D406="Dispo/Liquidité Investie",'Inventaire M-1'!D406="Option/Future",'Inventaire M-1'!D406="TCN",'Inventaire M-1'!D406=""),"-",'Inventaire M-1'!B406)</f>
        <v>-</v>
      </c>
      <c r="T654" s="175"/>
      <c r="U654" s="175" t="str">
        <f>IF(R654="-","",INDEX('Inventaire M-1'!$A$2:$AG$9334,MATCH(R654,'Inventaire M-1'!$A:$A,0)-1,MATCH("Cours EUR",'Inventaire M-1'!#REF!,0)))</f>
        <v/>
      </c>
      <c r="V654" s="175" t="str">
        <f>IF(R654="-","",IF(ISERROR(INDEX('Inventaire M'!$A$2:$AD$9319,MATCH(R654,'Inventaire M'!$A:$A,0)-1,MATCH("Cours EUR",'Inventaire M'!#REF!,0))),"Sell",INDEX('Inventaire M'!$A$2:$AD$9319,MATCH(R654,'Inventaire M'!$A:$A,0)-1,MATCH("Cours EUR",'Inventaire M'!#REF!,0))))</f>
        <v/>
      </c>
      <c r="W654" s="175"/>
      <c r="X654" s="156" t="str">
        <f>IF(R654="-","",INDEX('Inventaire M-1'!$A$2:$AG$9334,MATCH(R654,'Inventaire M-1'!$A:$A,0)-1,MATCH("quantite",'Inventaire M-1'!#REF!,0)))</f>
        <v/>
      </c>
      <c r="Y654" s="156" t="str">
        <f>IF(S654="-","",IF(ISERROR(INDEX('Inventaire M'!$A$2:$AD$9319,MATCH(R654,'Inventaire M'!$A:$A,0)-1,MATCH("quantite",'Inventaire M'!#REF!,0))),"Sell",INDEX('Inventaire M'!$A$2:$AD$9319,MATCH(R654,'Inventaire M'!$A:$A,0)-1,MATCH("quantite",'Inventaire M'!#REF!,0))))</f>
        <v/>
      </c>
      <c r="Z654" s="175"/>
      <c r="AA654" s="155" t="str">
        <f>IF(R654="-","",INDEX('Inventaire M-1'!$A$2:$AG$9334,MATCH(R654,'Inventaire M-1'!$A:$A,0)-1,MATCH("poids",'Inventaire M-1'!#REF!,0)))</f>
        <v/>
      </c>
      <c r="AB654" s="155" t="str">
        <f>IF(R654="-","",IF(ISERROR(INDEX('Inventaire M'!$A$2:$AD$9319,MATCH(R654,'Inventaire M'!$A:$A,0)-1,MATCH("poids",'Inventaire M'!#REF!,0))),"Sell",INDEX('Inventaire M'!$A$2:$AD$9319,MATCH(R654,'Inventaire M'!$A:$A,0)-1,MATCH("poids",'Inventaire M'!#REF!,0))))</f>
        <v/>
      </c>
      <c r="AC654" s="175"/>
      <c r="AD654" s="157" t="str">
        <f t="shared" si="69"/>
        <v>0</v>
      </c>
      <c r="AE654" s="98" t="str">
        <f t="shared" si="70"/>
        <v/>
      </c>
      <c r="AF654" s="80" t="str">
        <f t="shared" si="71"/>
        <v>-</v>
      </c>
    </row>
    <row r="655" spans="2:32" outlineLevel="1">
      <c r="B655" s="175" t="str">
        <f>IF(OR('Inventaire M'!D428="Dispo/Liquidité Investie",'Inventaire M'!D428="Option/Future",'Inventaire M'!D428="TCN",'Inventaire M'!D428=""),"-",'Inventaire M'!A428)</f>
        <v>-</v>
      </c>
      <c r="C655" s="175" t="str">
        <f>IF(OR('Inventaire M'!D428="Dispo/Liquidité Investie",'Inventaire M'!D428="Option/Future",'Inventaire M'!D428="TCN",'Inventaire M'!D428=""),"-",'Inventaire M'!B428)</f>
        <v>-</v>
      </c>
      <c r="D655" s="175"/>
      <c r="E655" s="175" t="str">
        <f>IF(B655="-","",INDEX('Inventaire M'!$A$2:$AW$9305,MATCH(B655,'Inventaire M'!$A:$A,0)-1,MATCH("Cours EUR",'Inventaire M'!#REF!,0)))</f>
        <v/>
      </c>
      <c r="F655" s="175" t="str">
        <f>IF(B655="-","",IF(ISERROR(INDEX('Inventaire M-1'!$A$2:$AZ$9320,MATCH(B655,'Inventaire M-1'!$A:$A,0)-1,MATCH("Cours EUR",'Inventaire M-1'!#REF!,0))),"Buy",INDEX('Inventaire M-1'!$A$2:$AZ$9320,MATCH(B655,'Inventaire M-1'!$A:$A,0)-1,MATCH("Cours EUR",'Inventaire M-1'!#REF!,0))))</f>
        <v/>
      </c>
      <c r="G655" s="175"/>
      <c r="H655" s="156" t="str">
        <f>IF(B655="-","",INDEX('Inventaire M'!$A$2:$AW$9305,MATCH(B655,'Inventaire M'!$A:$A,0)-1,MATCH("quantite",'Inventaire M'!#REF!,0)))</f>
        <v/>
      </c>
      <c r="I655" s="156" t="str">
        <f>IF(C655="-","",IF(ISERROR(INDEX('Inventaire M-1'!$A$2:$AZ$9320,MATCH(B655,'Inventaire M-1'!$A:$A,0)-1,MATCH("quantite",'Inventaire M-1'!#REF!,0))),"Buy",INDEX('Inventaire M-1'!$A$2:$AZ$9320,MATCH(B655,'Inventaire M-1'!$A:$A,0)-1,MATCH("quantite",'Inventaire M-1'!#REF!,0))))</f>
        <v/>
      </c>
      <c r="J655" s="175"/>
      <c r="K655" s="155" t="str">
        <f>IF(B655="-","",INDEX('Inventaire M'!$A$2:$AW$9305,MATCH(B655,'Inventaire M'!$A:$A,0)-1,MATCH("poids",'Inventaire M'!#REF!,0)))</f>
        <v/>
      </c>
      <c r="L655" s="155" t="str">
        <f>IF(B655="-","",IF(ISERROR(INDEX('Inventaire M-1'!$A$2:$AZ$9320,MATCH(B655,'Inventaire M-1'!$A:$A,0)-1,MATCH("poids",'Inventaire M-1'!#REF!,0))),"Buy",INDEX('Inventaire M-1'!$A$2:$AZ$9320,MATCH(B655,'Inventaire M-1'!$A:$A,0)-1,MATCH("poids",'Inventaire M-1'!#REF!,0))))</f>
        <v/>
      </c>
      <c r="M655" s="175"/>
      <c r="N655" s="157" t="str">
        <f t="shared" si="67"/>
        <v>0</v>
      </c>
      <c r="O655" s="98" t="str">
        <f t="shared" si="66"/>
        <v/>
      </c>
      <c r="P655" s="80" t="str">
        <f t="shared" si="68"/>
        <v>-</v>
      </c>
      <c r="Q655" s="75">
        <v>6.3100000000000003E-8</v>
      </c>
      <c r="R655" s="175" t="str">
        <f>IF(OR('Inventaire M-1'!D407="Dispo/Liquidité Investie",'Inventaire M-1'!D407="Option/Future",'Inventaire M-1'!D407="TCN",'Inventaire M-1'!D407=""),"-",'Inventaire M-1'!A407)</f>
        <v>-</v>
      </c>
      <c r="S655" s="175" t="str">
        <f>IF(OR('Inventaire M-1'!D407="Dispo/Liquidité Investie",'Inventaire M-1'!D407="Option/Future",'Inventaire M-1'!D407="TCN",'Inventaire M-1'!D407=""),"-",'Inventaire M-1'!B407)</f>
        <v>-</v>
      </c>
      <c r="T655" s="175"/>
      <c r="U655" s="175" t="str">
        <f>IF(R655="-","",INDEX('Inventaire M-1'!$A$2:$AG$9334,MATCH(R655,'Inventaire M-1'!$A:$A,0)-1,MATCH("Cours EUR",'Inventaire M-1'!#REF!,0)))</f>
        <v/>
      </c>
      <c r="V655" s="175" t="str">
        <f>IF(R655="-","",IF(ISERROR(INDEX('Inventaire M'!$A$2:$AD$9319,MATCH(R655,'Inventaire M'!$A:$A,0)-1,MATCH("Cours EUR",'Inventaire M'!#REF!,0))),"Sell",INDEX('Inventaire M'!$A$2:$AD$9319,MATCH(R655,'Inventaire M'!$A:$A,0)-1,MATCH("Cours EUR",'Inventaire M'!#REF!,0))))</f>
        <v/>
      </c>
      <c r="W655" s="175"/>
      <c r="X655" s="156" t="str">
        <f>IF(R655="-","",INDEX('Inventaire M-1'!$A$2:$AG$9334,MATCH(R655,'Inventaire M-1'!$A:$A,0)-1,MATCH("quantite",'Inventaire M-1'!#REF!,0)))</f>
        <v/>
      </c>
      <c r="Y655" s="156" t="str">
        <f>IF(S655="-","",IF(ISERROR(INDEX('Inventaire M'!$A$2:$AD$9319,MATCH(R655,'Inventaire M'!$A:$A,0)-1,MATCH("quantite",'Inventaire M'!#REF!,0))),"Sell",INDEX('Inventaire M'!$A$2:$AD$9319,MATCH(R655,'Inventaire M'!$A:$A,0)-1,MATCH("quantite",'Inventaire M'!#REF!,0))))</f>
        <v/>
      </c>
      <c r="Z655" s="175"/>
      <c r="AA655" s="155" t="str">
        <f>IF(R655="-","",INDEX('Inventaire M-1'!$A$2:$AG$9334,MATCH(R655,'Inventaire M-1'!$A:$A,0)-1,MATCH("poids",'Inventaire M-1'!#REF!,0)))</f>
        <v/>
      </c>
      <c r="AB655" s="155" t="str">
        <f>IF(R655="-","",IF(ISERROR(INDEX('Inventaire M'!$A$2:$AD$9319,MATCH(R655,'Inventaire M'!$A:$A,0)-1,MATCH("poids",'Inventaire M'!#REF!,0))),"Sell",INDEX('Inventaire M'!$A$2:$AD$9319,MATCH(R655,'Inventaire M'!$A:$A,0)-1,MATCH("poids",'Inventaire M'!#REF!,0))))</f>
        <v/>
      </c>
      <c r="AC655" s="175"/>
      <c r="AD655" s="157" t="str">
        <f t="shared" si="69"/>
        <v>0</v>
      </c>
      <c r="AE655" s="98" t="str">
        <f t="shared" si="70"/>
        <v/>
      </c>
      <c r="AF655" s="80" t="str">
        <f t="shared" si="71"/>
        <v>-</v>
      </c>
    </row>
    <row r="656" spans="2:32" outlineLevel="1">
      <c r="B656" s="175" t="str">
        <f>IF(OR('Inventaire M'!D429="Dispo/Liquidité Investie",'Inventaire M'!D429="Option/Future",'Inventaire M'!D429="TCN",'Inventaire M'!D429=""),"-",'Inventaire M'!A429)</f>
        <v>-</v>
      </c>
      <c r="C656" s="175" t="str">
        <f>IF(OR('Inventaire M'!D429="Dispo/Liquidité Investie",'Inventaire M'!D429="Option/Future",'Inventaire M'!D429="TCN",'Inventaire M'!D429=""),"-",'Inventaire M'!B429)</f>
        <v>-</v>
      </c>
      <c r="D656" s="175"/>
      <c r="E656" s="175" t="str">
        <f>IF(B656="-","",INDEX('Inventaire M'!$A$2:$AW$9305,MATCH(B656,'Inventaire M'!$A:$A,0)-1,MATCH("Cours EUR",'Inventaire M'!#REF!,0)))</f>
        <v/>
      </c>
      <c r="F656" s="175" t="str">
        <f>IF(B656="-","",IF(ISERROR(INDEX('Inventaire M-1'!$A$2:$AZ$9320,MATCH(B656,'Inventaire M-1'!$A:$A,0)-1,MATCH("Cours EUR",'Inventaire M-1'!#REF!,0))),"Buy",INDEX('Inventaire M-1'!$A$2:$AZ$9320,MATCH(B656,'Inventaire M-1'!$A:$A,0)-1,MATCH("Cours EUR",'Inventaire M-1'!#REF!,0))))</f>
        <v/>
      </c>
      <c r="G656" s="175"/>
      <c r="H656" s="156" t="str">
        <f>IF(B656="-","",INDEX('Inventaire M'!$A$2:$AW$9305,MATCH(B656,'Inventaire M'!$A:$A,0)-1,MATCH("quantite",'Inventaire M'!#REF!,0)))</f>
        <v/>
      </c>
      <c r="I656" s="156" t="str">
        <f>IF(C656="-","",IF(ISERROR(INDEX('Inventaire M-1'!$A$2:$AZ$9320,MATCH(B656,'Inventaire M-1'!$A:$A,0)-1,MATCH("quantite",'Inventaire M-1'!#REF!,0))),"Buy",INDEX('Inventaire M-1'!$A$2:$AZ$9320,MATCH(B656,'Inventaire M-1'!$A:$A,0)-1,MATCH("quantite",'Inventaire M-1'!#REF!,0))))</f>
        <v/>
      </c>
      <c r="J656" s="175"/>
      <c r="K656" s="155" t="str">
        <f>IF(B656="-","",INDEX('Inventaire M'!$A$2:$AW$9305,MATCH(B656,'Inventaire M'!$A:$A,0)-1,MATCH("poids",'Inventaire M'!#REF!,0)))</f>
        <v/>
      </c>
      <c r="L656" s="155" t="str">
        <f>IF(B656="-","",IF(ISERROR(INDEX('Inventaire M-1'!$A$2:$AZ$9320,MATCH(B656,'Inventaire M-1'!$A:$A,0)-1,MATCH("poids",'Inventaire M-1'!#REF!,0))),"Buy",INDEX('Inventaire M-1'!$A$2:$AZ$9320,MATCH(B656,'Inventaire M-1'!$A:$A,0)-1,MATCH("poids",'Inventaire M-1'!#REF!,0))))</f>
        <v/>
      </c>
      <c r="M656" s="175"/>
      <c r="N656" s="157" t="str">
        <f t="shared" si="67"/>
        <v>0</v>
      </c>
      <c r="O656" s="98" t="str">
        <f t="shared" si="66"/>
        <v/>
      </c>
      <c r="P656" s="80" t="str">
        <f t="shared" si="68"/>
        <v>-</v>
      </c>
      <c r="Q656" s="75">
        <v>6.3199999999999997E-8</v>
      </c>
      <c r="R656" s="175" t="str">
        <f>IF(OR('Inventaire M-1'!D408="Dispo/Liquidité Investie",'Inventaire M-1'!D408="Option/Future",'Inventaire M-1'!D408="TCN",'Inventaire M-1'!D408=""),"-",'Inventaire M-1'!A408)</f>
        <v>-</v>
      </c>
      <c r="S656" s="175" t="str">
        <f>IF(OR('Inventaire M-1'!D408="Dispo/Liquidité Investie",'Inventaire M-1'!D408="Option/Future",'Inventaire M-1'!D408="TCN",'Inventaire M-1'!D408=""),"-",'Inventaire M-1'!B408)</f>
        <v>-</v>
      </c>
      <c r="T656" s="175"/>
      <c r="U656" s="175" t="str">
        <f>IF(R656="-","",INDEX('Inventaire M-1'!$A$2:$AG$9334,MATCH(R656,'Inventaire M-1'!$A:$A,0)-1,MATCH("Cours EUR",'Inventaire M-1'!#REF!,0)))</f>
        <v/>
      </c>
      <c r="V656" s="175" t="str">
        <f>IF(R656="-","",IF(ISERROR(INDEX('Inventaire M'!$A$2:$AD$9319,MATCH(R656,'Inventaire M'!$A:$A,0)-1,MATCH("Cours EUR",'Inventaire M'!#REF!,0))),"Sell",INDEX('Inventaire M'!$A$2:$AD$9319,MATCH(R656,'Inventaire M'!$A:$A,0)-1,MATCH("Cours EUR",'Inventaire M'!#REF!,0))))</f>
        <v/>
      </c>
      <c r="W656" s="175"/>
      <c r="X656" s="156" t="str">
        <f>IF(R656="-","",INDEX('Inventaire M-1'!$A$2:$AG$9334,MATCH(R656,'Inventaire M-1'!$A:$A,0)-1,MATCH("quantite",'Inventaire M-1'!#REF!,0)))</f>
        <v/>
      </c>
      <c r="Y656" s="156" t="str">
        <f>IF(S656="-","",IF(ISERROR(INDEX('Inventaire M'!$A$2:$AD$9319,MATCH(R656,'Inventaire M'!$A:$A,0)-1,MATCH("quantite",'Inventaire M'!#REF!,0))),"Sell",INDEX('Inventaire M'!$A$2:$AD$9319,MATCH(R656,'Inventaire M'!$A:$A,0)-1,MATCH("quantite",'Inventaire M'!#REF!,0))))</f>
        <v/>
      </c>
      <c r="Z656" s="175"/>
      <c r="AA656" s="155" t="str">
        <f>IF(R656="-","",INDEX('Inventaire M-1'!$A$2:$AG$9334,MATCH(R656,'Inventaire M-1'!$A:$A,0)-1,MATCH("poids",'Inventaire M-1'!#REF!,0)))</f>
        <v/>
      </c>
      <c r="AB656" s="155" t="str">
        <f>IF(R656="-","",IF(ISERROR(INDEX('Inventaire M'!$A$2:$AD$9319,MATCH(R656,'Inventaire M'!$A:$A,0)-1,MATCH("poids",'Inventaire M'!#REF!,0))),"Sell",INDEX('Inventaire M'!$A$2:$AD$9319,MATCH(R656,'Inventaire M'!$A:$A,0)-1,MATCH("poids",'Inventaire M'!#REF!,0))))</f>
        <v/>
      </c>
      <c r="AC656" s="175"/>
      <c r="AD656" s="157" t="str">
        <f t="shared" si="69"/>
        <v>0</v>
      </c>
      <c r="AE656" s="98" t="str">
        <f t="shared" si="70"/>
        <v/>
      </c>
      <c r="AF656" s="80" t="str">
        <f t="shared" si="71"/>
        <v>-</v>
      </c>
    </row>
    <row r="657" spans="2:32" outlineLevel="1">
      <c r="B657" s="175" t="str">
        <f>IF(OR('Inventaire M'!D430="Dispo/Liquidité Investie",'Inventaire M'!D430="Option/Future",'Inventaire M'!D430="TCN",'Inventaire M'!D430=""),"-",'Inventaire M'!A430)</f>
        <v>-</v>
      </c>
      <c r="C657" s="175" t="str">
        <f>IF(OR('Inventaire M'!D430="Dispo/Liquidité Investie",'Inventaire M'!D430="Option/Future",'Inventaire M'!D430="TCN",'Inventaire M'!D430=""),"-",'Inventaire M'!B430)</f>
        <v>-</v>
      </c>
      <c r="D657" s="175"/>
      <c r="E657" s="175" t="str">
        <f>IF(B657="-","",INDEX('Inventaire M'!$A$2:$AW$9305,MATCH(B657,'Inventaire M'!$A:$A,0)-1,MATCH("Cours EUR",'Inventaire M'!#REF!,0)))</f>
        <v/>
      </c>
      <c r="F657" s="175" t="str">
        <f>IF(B657="-","",IF(ISERROR(INDEX('Inventaire M-1'!$A$2:$AZ$9320,MATCH(B657,'Inventaire M-1'!$A:$A,0)-1,MATCH("Cours EUR",'Inventaire M-1'!#REF!,0))),"Buy",INDEX('Inventaire M-1'!$A$2:$AZ$9320,MATCH(B657,'Inventaire M-1'!$A:$A,0)-1,MATCH("Cours EUR",'Inventaire M-1'!#REF!,0))))</f>
        <v/>
      </c>
      <c r="G657" s="175"/>
      <c r="H657" s="156" t="str">
        <f>IF(B657="-","",INDEX('Inventaire M'!$A$2:$AW$9305,MATCH(B657,'Inventaire M'!$A:$A,0)-1,MATCH("quantite",'Inventaire M'!#REF!,0)))</f>
        <v/>
      </c>
      <c r="I657" s="156" t="str">
        <f>IF(C657="-","",IF(ISERROR(INDEX('Inventaire M-1'!$A$2:$AZ$9320,MATCH(B657,'Inventaire M-1'!$A:$A,0)-1,MATCH("quantite",'Inventaire M-1'!#REF!,0))),"Buy",INDEX('Inventaire M-1'!$A$2:$AZ$9320,MATCH(B657,'Inventaire M-1'!$A:$A,0)-1,MATCH("quantite",'Inventaire M-1'!#REF!,0))))</f>
        <v/>
      </c>
      <c r="J657" s="175"/>
      <c r="K657" s="155" t="str">
        <f>IF(B657="-","",INDEX('Inventaire M'!$A$2:$AW$9305,MATCH(B657,'Inventaire M'!$A:$A,0)-1,MATCH("poids",'Inventaire M'!#REF!,0)))</f>
        <v/>
      </c>
      <c r="L657" s="155" t="str">
        <f>IF(B657="-","",IF(ISERROR(INDEX('Inventaire M-1'!$A$2:$AZ$9320,MATCH(B657,'Inventaire M-1'!$A:$A,0)-1,MATCH("poids",'Inventaire M-1'!#REF!,0))),"Buy",INDEX('Inventaire M-1'!$A$2:$AZ$9320,MATCH(B657,'Inventaire M-1'!$A:$A,0)-1,MATCH("poids",'Inventaire M-1'!#REF!,0))))</f>
        <v/>
      </c>
      <c r="M657" s="175"/>
      <c r="N657" s="157" t="str">
        <f t="shared" si="67"/>
        <v>0</v>
      </c>
      <c r="O657" s="98" t="str">
        <f t="shared" si="66"/>
        <v/>
      </c>
      <c r="P657" s="80" t="str">
        <f t="shared" si="68"/>
        <v>-</v>
      </c>
      <c r="Q657" s="75">
        <v>6.3300000000000004E-8</v>
      </c>
      <c r="R657" s="175" t="str">
        <f>IF(OR('Inventaire M-1'!D409="Dispo/Liquidité Investie",'Inventaire M-1'!D409="Option/Future",'Inventaire M-1'!D409="TCN",'Inventaire M-1'!D409=""),"-",'Inventaire M-1'!A409)</f>
        <v>-</v>
      </c>
      <c r="S657" s="175" t="str">
        <f>IF(OR('Inventaire M-1'!D409="Dispo/Liquidité Investie",'Inventaire M-1'!D409="Option/Future",'Inventaire M-1'!D409="TCN",'Inventaire M-1'!D409=""),"-",'Inventaire M-1'!B409)</f>
        <v>-</v>
      </c>
      <c r="T657" s="175"/>
      <c r="U657" s="175" t="str">
        <f>IF(R657="-","",INDEX('Inventaire M-1'!$A$2:$AG$9334,MATCH(R657,'Inventaire M-1'!$A:$A,0)-1,MATCH("Cours EUR",'Inventaire M-1'!#REF!,0)))</f>
        <v/>
      </c>
      <c r="V657" s="175" t="str">
        <f>IF(R657="-","",IF(ISERROR(INDEX('Inventaire M'!$A$2:$AD$9319,MATCH(R657,'Inventaire M'!$A:$A,0)-1,MATCH("Cours EUR",'Inventaire M'!#REF!,0))),"Sell",INDEX('Inventaire M'!$A$2:$AD$9319,MATCH(R657,'Inventaire M'!$A:$A,0)-1,MATCH("Cours EUR",'Inventaire M'!#REF!,0))))</f>
        <v/>
      </c>
      <c r="W657" s="175"/>
      <c r="X657" s="156" t="str">
        <f>IF(R657="-","",INDEX('Inventaire M-1'!$A$2:$AG$9334,MATCH(R657,'Inventaire M-1'!$A:$A,0)-1,MATCH("quantite",'Inventaire M-1'!#REF!,0)))</f>
        <v/>
      </c>
      <c r="Y657" s="156" t="str">
        <f>IF(S657="-","",IF(ISERROR(INDEX('Inventaire M'!$A$2:$AD$9319,MATCH(R657,'Inventaire M'!$A:$A,0)-1,MATCH("quantite",'Inventaire M'!#REF!,0))),"Sell",INDEX('Inventaire M'!$A$2:$AD$9319,MATCH(R657,'Inventaire M'!$A:$A,0)-1,MATCH("quantite",'Inventaire M'!#REF!,0))))</f>
        <v/>
      </c>
      <c r="Z657" s="175"/>
      <c r="AA657" s="155" t="str">
        <f>IF(R657="-","",INDEX('Inventaire M-1'!$A$2:$AG$9334,MATCH(R657,'Inventaire M-1'!$A:$A,0)-1,MATCH("poids",'Inventaire M-1'!#REF!,0)))</f>
        <v/>
      </c>
      <c r="AB657" s="155" t="str">
        <f>IF(R657="-","",IF(ISERROR(INDEX('Inventaire M'!$A$2:$AD$9319,MATCH(R657,'Inventaire M'!$A:$A,0)-1,MATCH("poids",'Inventaire M'!#REF!,0))),"Sell",INDEX('Inventaire M'!$A$2:$AD$9319,MATCH(R657,'Inventaire M'!$A:$A,0)-1,MATCH("poids",'Inventaire M'!#REF!,0))))</f>
        <v/>
      </c>
      <c r="AC657" s="175"/>
      <c r="AD657" s="157" t="str">
        <f t="shared" si="69"/>
        <v>0</v>
      </c>
      <c r="AE657" s="98" t="str">
        <f t="shared" si="70"/>
        <v/>
      </c>
      <c r="AF657" s="80" t="str">
        <f t="shared" si="71"/>
        <v>-</v>
      </c>
    </row>
    <row r="658" spans="2:32" outlineLevel="1">
      <c r="B658" s="175" t="str">
        <f>IF(OR('Inventaire M'!D431="Dispo/Liquidité Investie",'Inventaire M'!D431="Option/Future",'Inventaire M'!D431="TCN",'Inventaire M'!D431=""),"-",'Inventaire M'!A431)</f>
        <v>-</v>
      </c>
      <c r="C658" s="175" t="str">
        <f>IF(OR('Inventaire M'!D431="Dispo/Liquidité Investie",'Inventaire M'!D431="Option/Future",'Inventaire M'!D431="TCN",'Inventaire M'!D431=""),"-",'Inventaire M'!B431)</f>
        <v>-</v>
      </c>
      <c r="D658" s="175"/>
      <c r="E658" s="175" t="str">
        <f>IF(B658="-","",INDEX('Inventaire M'!$A$2:$AW$9305,MATCH(B658,'Inventaire M'!$A:$A,0)-1,MATCH("Cours EUR",'Inventaire M'!#REF!,0)))</f>
        <v/>
      </c>
      <c r="F658" s="175" t="str">
        <f>IF(B658="-","",IF(ISERROR(INDEX('Inventaire M-1'!$A$2:$AZ$9320,MATCH(B658,'Inventaire M-1'!$A:$A,0)-1,MATCH("Cours EUR",'Inventaire M-1'!#REF!,0))),"Buy",INDEX('Inventaire M-1'!$A$2:$AZ$9320,MATCH(B658,'Inventaire M-1'!$A:$A,0)-1,MATCH("Cours EUR",'Inventaire M-1'!#REF!,0))))</f>
        <v/>
      </c>
      <c r="G658" s="175"/>
      <c r="H658" s="156" t="str">
        <f>IF(B658="-","",INDEX('Inventaire M'!$A$2:$AW$9305,MATCH(B658,'Inventaire M'!$A:$A,0)-1,MATCH("quantite",'Inventaire M'!#REF!,0)))</f>
        <v/>
      </c>
      <c r="I658" s="156" t="str">
        <f>IF(C658="-","",IF(ISERROR(INDEX('Inventaire M-1'!$A$2:$AZ$9320,MATCH(B658,'Inventaire M-1'!$A:$A,0)-1,MATCH("quantite",'Inventaire M-1'!#REF!,0))),"Buy",INDEX('Inventaire M-1'!$A$2:$AZ$9320,MATCH(B658,'Inventaire M-1'!$A:$A,0)-1,MATCH("quantite",'Inventaire M-1'!#REF!,0))))</f>
        <v/>
      </c>
      <c r="J658" s="175"/>
      <c r="K658" s="155" t="str">
        <f>IF(B658="-","",INDEX('Inventaire M'!$A$2:$AW$9305,MATCH(B658,'Inventaire M'!$A:$A,0)-1,MATCH("poids",'Inventaire M'!#REF!,0)))</f>
        <v/>
      </c>
      <c r="L658" s="155" t="str">
        <f>IF(B658="-","",IF(ISERROR(INDEX('Inventaire M-1'!$A$2:$AZ$9320,MATCH(B658,'Inventaire M-1'!$A:$A,0)-1,MATCH("poids",'Inventaire M-1'!#REF!,0))),"Buy",INDEX('Inventaire M-1'!$A$2:$AZ$9320,MATCH(B658,'Inventaire M-1'!$A:$A,0)-1,MATCH("poids",'Inventaire M-1'!#REF!,0))))</f>
        <v/>
      </c>
      <c r="M658" s="175"/>
      <c r="N658" s="157" t="str">
        <f t="shared" si="67"/>
        <v>0</v>
      </c>
      <c r="O658" s="98" t="str">
        <f t="shared" si="66"/>
        <v/>
      </c>
      <c r="P658" s="80" t="str">
        <f t="shared" si="68"/>
        <v>-</v>
      </c>
      <c r="Q658" s="75">
        <v>6.3399999999999999E-8</v>
      </c>
      <c r="R658" s="175" t="str">
        <f>IF(OR('Inventaire M-1'!D410="Dispo/Liquidité Investie",'Inventaire M-1'!D410="Option/Future",'Inventaire M-1'!D410="TCN",'Inventaire M-1'!D410=""),"-",'Inventaire M-1'!A410)</f>
        <v>-</v>
      </c>
      <c r="S658" s="175" t="str">
        <f>IF(OR('Inventaire M-1'!D410="Dispo/Liquidité Investie",'Inventaire M-1'!D410="Option/Future",'Inventaire M-1'!D410="TCN",'Inventaire M-1'!D410=""),"-",'Inventaire M-1'!B410)</f>
        <v>-</v>
      </c>
      <c r="T658" s="175"/>
      <c r="U658" s="175" t="str">
        <f>IF(R658="-","",INDEX('Inventaire M-1'!$A$2:$AG$9334,MATCH(R658,'Inventaire M-1'!$A:$A,0)-1,MATCH("Cours EUR",'Inventaire M-1'!#REF!,0)))</f>
        <v/>
      </c>
      <c r="V658" s="175" t="str">
        <f>IF(R658="-","",IF(ISERROR(INDEX('Inventaire M'!$A$2:$AD$9319,MATCH(R658,'Inventaire M'!$A:$A,0)-1,MATCH("Cours EUR",'Inventaire M'!#REF!,0))),"Sell",INDEX('Inventaire M'!$A$2:$AD$9319,MATCH(R658,'Inventaire M'!$A:$A,0)-1,MATCH("Cours EUR",'Inventaire M'!#REF!,0))))</f>
        <v/>
      </c>
      <c r="W658" s="175"/>
      <c r="X658" s="156" t="str">
        <f>IF(R658="-","",INDEX('Inventaire M-1'!$A$2:$AG$9334,MATCH(R658,'Inventaire M-1'!$A:$A,0)-1,MATCH("quantite",'Inventaire M-1'!#REF!,0)))</f>
        <v/>
      </c>
      <c r="Y658" s="156" t="str">
        <f>IF(S658="-","",IF(ISERROR(INDEX('Inventaire M'!$A$2:$AD$9319,MATCH(R658,'Inventaire M'!$A:$A,0)-1,MATCH("quantite",'Inventaire M'!#REF!,0))),"Sell",INDEX('Inventaire M'!$A$2:$AD$9319,MATCH(R658,'Inventaire M'!$A:$A,0)-1,MATCH("quantite",'Inventaire M'!#REF!,0))))</f>
        <v/>
      </c>
      <c r="Z658" s="175"/>
      <c r="AA658" s="155" t="str">
        <f>IF(R658="-","",INDEX('Inventaire M-1'!$A$2:$AG$9334,MATCH(R658,'Inventaire M-1'!$A:$A,0)-1,MATCH("poids",'Inventaire M-1'!#REF!,0)))</f>
        <v/>
      </c>
      <c r="AB658" s="155" t="str">
        <f>IF(R658="-","",IF(ISERROR(INDEX('Inventaire M'!$A$2:$AD$9319,MATCH(R658,'Inventaire M'!$A:$A,0)-1,MATCH("poids",'Inventaire M'!#REF!,0))),"Sell",INDEX('Inventaire M'!$A$2:$AD$9319,MATCH(R658,'Inventaire M'!$A:$A,0)-1,MATCH("poids",'Inventaire M'!#REF!,0))))</f>
        <v/>
      </c>
      <c r="AC658" s="175"/>
      <c r="AD658" s="157" t="str">
        <f t="shared" si="69"/>
        <v>0</v>
      </c>
      <c r="AE658" s="98" t="str">
        <f t="shared" si="70"/>
        <v/>
      </c>
      <c r="AF658" s="80" t="str">
        <f t="shared" si="71"/>
        <v>-</v>
      </c>
    </row>
    <row r="659" spans="2:32" outlineLevel="1">
      <c r="B659" s="175" t="str">
        <f>IF(OR('Inventaire M'!D432="Dispo/Liquidité Investie",'Inventaire M'!D432="Option/Future",'Inventaire M'!D432="TCN",'Inventaire M'!D432=""),"-",'Inventaire M'!A432)</f>
        <v>-</v>
      </c>
      <c r="C659" s="175" t="str">
        <f>IF(OR('Inventaire M'!D432="Dispo/Liquidité Investie",'Inventaire M'!D432="Option/Future",'Inventaire M'!D432="TCN",'Inventaire M'!D432=""),"-",'Inventaire M'!B432)</f>
        <v>-</v>
      </c>
      <c r="D659" s="175"/>
      <c r="E659" s="175" t="str">
        <f>IF(B659="-","",INDEX('Inventaire M'!$A$2:$AW$9305,MATCH(B659,'Inventaire M'!$A:$A,0)-1,MATCH("Cours EUR",'Inventaire M'!#REF!,0)))</f>
        <v/>
      </c>
      <c r="F659" s="175" t="str">
        <f>IF(B659="-","",IF(ISERROR(INDEX('Inventaire M-1'!$A$2:$AZ$9320,MATCH(B659,'Inventaire M-1'!$A:$A,0)-1,MATCH("Cours EUR",'Inventaire M-1'!#REF!,0))),"Buy",INDEX('Inventaire M-1'!$A$2:$AZ$9320,MATCH(B659,'Inventaire M-1'!$A:$A,0)-1,MATCH("Cours EUR",'Inventaire M-1'!#REF!,0))))</f>
        <v/>
      </c>
      <c r="G659" s="175"/>
      <c r="H659" s="156" t="str">
        <f>IF(B659="-","",INDEX('Inventaire M'!$A$2:$AW$9305,MATCH(B659,'Inventaire M'!$A:$A,0)-1,MATCH("quantite",'Inventaire M'!#REF!,0)))</f>
        <v/>
      </c>
      <c r="I659" s="156" t="str">
        <f>IF(C659="-","",IF(ISERROR(INDEX('Inventaire M-1'!$A$2:$AZ$9320,MATCH(B659,'Inventaire M-1'!$A:$A,0)-1,MATCH("quantite",'Inventaire M-1'!#REF!,0))),"Buy",INDEX('Inventaire M-1'!$A$2:$AZ$9320,MATCH(B659,'Inventaire M-1'!$A:$A,0)-1,MATCH("quantite",'Inventaire M-1'!#REF!,0))))</f>
        <v/>
      </c>
      <c r="J659" s="175"/>
      <c r="K659" s="155" t="str">
        <f>IF(B659="-","",INDEX('Inventaire M'!$A$2:$AW$9305,MATCH(B659,'Inventaire M'!$A:$A,0)-1,MATCH("poids",'Inventaire M'!#REF!,0)))</f>
        <v/>
      </c>
      <c r="L659" s="155" t="str">
        <f>IF(B659="-","",IF(ISERROR(INDEX('Inventaire M-1'!$A$2:$AZ$9320,MATCH(B659,'Inventaire M-1'!$A:$A,0)-1,MATCH("poids",'Inventaire M-1'!#REF!,0))),"Buy",INDEX('Inventaire M-1'!$A$2:$AZ$9320,MATCH(B659,'Inventaire M-1'!$A:$A,0)-1,MATCH("poids",'Inventaire M-1'!#REF!,0))))</f>
        <v/>
      </c>
      <c r="M659" s="175"/>
      <c r="N659" s="157" t="str">
        <f t="shared" si="67"/>
        <v>0</v>
      </c>
      <c r="O659" s="98" t="str">
        <f t="shared" si="66"/>
        <v/>
      </c>
      <c r="P659" s="80" t="str">
        <f t="shared" si="68"/>
        <v>-</v>
      </c>
      <c r="Q659" s="75">
        <v>6.3500000000000006E-8</v>
      </c>
      <c r="R659" s="175" t="str">
        <f>IF(OR('Inventaire M-1'!D411="Dispo/Liquidité Investie",'Inventaire M-1'!D411="Option/Future",'Inventaire M-1'!D411="TCN",'Inventaire M-1'!D411=""),"-",'Inventaire M-1'!A411)</f>
        <v>-</v>
      </c>
      <c r="S659" s="175" t="str">
        <f>IF(OR('Inventaire M-1'!D411="Dispo/Liquidité Investie",'Inventaire M-1'!D411="Option/Future",'Inventaire M-1'!D411="TCN",'Inventaire M-1'!D411=""),"-",'Inventaire M-1'!B411)</f>
        <v>-</v>
      </c>
      <c r="T659" s="175"/>
      <c r="U659" s="175" t="str">
        <f>IF(R659="-","",INDEX('Inventaire M-1'!$A$2:$AG$9334,MATCH(R659,'Inventaire M-1'!$A:$A,0)-1,MATCH("Cours EUR",'Inventaire M-1'!#REF!,0)))</f>
        <v/>
      </c>
      <c r="V659" s="175" t="str">
        <f>IF(R659="-","",IF(ISERROR(INDEX('Inventaire M'!$A$2:$AD$9319,MATCH(R659,'Inventaire M'!$A:$A,0)-1,MATCH("Cours EUR",'Inventaire M'!#REF!,0))),"Sell",INDEX('Inventaire M'!$A$2:$AD$9319,MATCH(R659,'Inventaire M'!$A:$A,0)-1,MATCH("Cours EUR",'Inventaire M'!#REF!,0))))</f>
        <v/>
      </c>
      <c r="W659" s="175"/>
      <c r="X659" s="156" t="str">
        <f>IF(R659="-","",INDEX('Inventaire M-1'!$A$2:$AG$9334,MATCH(R659,'Inventaire M-1'!$A:$A,0)-1,MATCH("quantite",'Inventaire M-1'!#REF!,0)))</f>
        <v/>
      </c>
      <c r="Y659" s="156" t="str">
        <f>IF(S659="-","",IF(ISERROR(INDEX('Inventaire M'!$A$2:$AD$9319,MATCH(R659,'Inventaire M'!$A:$A,0)-1,MATCH("quantite",'Inventaire M'!#REF!,0))),"Sell",INDEX('Inventaire M'!$A$2:$AD$9319,MATCH(R659,'Inventaire M'!$A:$A,0)-1,MATCH("quantite",'Inventaire M'!#REF!,0))))</f>
        <v/>
      </c>
      <c r="Z659" s="175"/>
      <c r="AA659" s="155" t="str">
        <f>IF(R659="-","",INDEX('Inventaire M-1'!$A$2:$AG$9334,MATCH(R659,'Inventaire M-1'!$A:$A,0)-1,MATCH("poids",'Inventaire M-1'!#REF!,0)))</f>
        <v/>
      </c>
      <c r="AB659" s="155" t="str">
        <f>IF(R659="-","",IF(ISERROR(INDEX('Inventaire M'!$A$2:$AD$9319,MATCH(R659,'Inventaire M'!$A:$A,0)-1,MATCH("poids",'Inventaire M'!#REF!,0))),"Sell",INDEX('Inventaire M'!$A$2:$AD$9319,MATCH(R659,'Inventaire M'!$A:$A,0)-1,MATCH("poids",'Inventaire M'!#REF!,0))))</f>
        <v/>
      </c>
      <c r="AC659" s="175"/>
      <c r="AD659" s="157" t="str">
        <f t="shared" si="69"/>
        <v>0</v>
      </c>
      <c r="AE659" s="98" t="str">
        <f t="shared" si="70"/>
        <v/>
      </c>
      <c r="AF659" s="80" t="str">
        <f t="shared" si="71"/>
        <v>-</v>
      </c>
    </row>
    <row r="660" spans="2:32" outlineLevel="1">
      <c r="B660" s="175" t="str">
        <f>IF(OR('Inventaire M'!D433="Dispo/Liquidité Investie",'Inventaire M'!D433="Option/Future",'Inventaire M'!D433="TCN",'Inventaire M'!D433=""),"-",'Inventaire M'!A433)</f>
        <v>-</v>
      </c>
      <c r="C660" s="175" t="str">
        <f>IF(OR('Inventaire M'!D433="Dispo/Liquidité Investie",'Inventaire M'!D433="Option/Future",'Inventaire M'!D433="TCN",'Inventaire M'!D433=""),"-",'Inventaire M'!B433)</f>
        <v>-</v>
      </c>
      <c r="D660" s="175"/>
      <c r="E660" s="175" t="str">
        <f>IF(B660="-","",INDEX('Inventaire M'!$A$2:$AW$9305,MATCH(B660,'Inventaire M'!$A:$A,0)-1,MATCH("Cours EUR",'Inventaire M'!#REF!,0)))</f>
        <v/>
      </c>
      <c r="F660" s="175" t="str">
        <f>IF(B660="-","",IF(ISERROR(INDEX('Inventaire M-1'!$A$2:$AZ$9320,MATCH(B660,'Inventaire M-1'!$A:$A,0)-1,MATCH("Cours EUR",'Inventaire M-1'!#REF!,0))),"Buy",INDEX('Inventaire M-1'!$A$2:$AZ$9320,MATCH(B660,'Inventaire M-1'!$A:$A,0)-1,MATCH("Cours EUR",'Inventaire M-1'!#REF!,0))))</f>
        <v/>
      </c>
      <c r="G660" s="175"/>
      <c r="H660" s="156" t="str">
        <f>IF(B660="-","",INDEX('Inventaire M'!$A$2:$AW$9305,MATCH(B660,'Inventaire M'!$A:$A,0)-1,MATCH("quantite",'Inventaire M'!#REF!,0)))</f>
        <v/>
      </c>
      <c r="I660" s="156" t="str">
        <f>IF(C660="-","",IF(ISERROR(INDEX('Inventaire M-1'!$A$2:$AZ$9320,MATCH(B660,'Inventaire M-1'!$A:$A,0)-1,MATCH("quantite",'Inventaire M-1'!#REF!,0))),"Buy",INDEX('Inventaire M-1'!$A$2:$AZ$9320,MATCH(B660,'Inventaire M-1'!$A:$A,0)-1,MATCH("quantite",'Inventaire M-1'!#REF!,0))))</f>
        <v/>
      </c>
      <c r="J660" s="175"/>
      <c r="K660" s="155" t="str">
        <f>IF(B660="-","",INDEX('Inventaire M'!$A$2:$AW$9305,MATCH(B660,'Inventaire M'!$A:$A,0)-1,MATCH("poids",'Inventaire M'!#REF!,0)))</f>
        <v/>
      </c>
      <c r="L660" s="155" t="str">
        <f>IF(B660="-","",IF(ISERROR(INDEX('Inventaire M-1'!$A$2:$AZ$9320,MATCH(B660,'Inventaire M-1'!$A:$A,0)-1,MATCH("poids",'Inventaire M-1'!#REF!,0))),"Buy",INDEX('Inventaire M-1'!$A$2:$AZ$9320,MATCH(B660,'Inventaire M-1'!$A:$A,0)-1,MATCH("poids",'Inventaire M-1'!#REF!,0))))</f>
        <v/>
      </c>
      <c r="M660" s="175"/>
      <c r="N660" s="157" t="str">
        <f t="shared" si="67"/>
        <v>0</v>
      </c>
      <c r="O660" s="98" t="str">
        <f t="shared" si="66"/>
        <v/>
      </c>
      <c r="P660" s="80" t="str">
        <f t="shared" si="68"/>
        <v>-</v>
      </c>
      <c r="Q660" s="75">
        <v>6.36E-8</v>
      </c>
      <c r="R660" s="175" t="str">
        <f>IF(OR('Inventaire M-1'!D412="Dispo/Liquidité Investie",'Inventaire M-1'!D412="Option/Future",'Inventaire M-1'!D412="TCN",'Inventaire M-1'!D412=""),"-",'Inventaire M-1'!A412)</f>
        <v>-</v>
      </c>
      <c r="S660" s="175" t="str">
        <f>IF(OR('Inventaire M-1'!D412="Dispo/Liquidité Investie",'Inventaire M-1'!D412="Option/Future",'Inventaire M-1'!D412="TCN",'Inventaire M-1'!D412=""),"-",'Inventaire M-1'!B412)</f>
        <v>-</v>
      </c>
      <c r="T660" s="175"/>
      <c r="U660" s="175" t="str">
        <f>IF(R660="-","",INDEX('Inventaire M-1'!$A$2:$AG$9334,MATCH(R660,'Inventaire M-1'!$A:$A,0)-1,MATCH("Cours EUR",'Inventaire M-1'!#REF!,0)))</f>
        <v/>
      </c>
      <c r="V660" s="175" t="str">
        <f>IF(R660="-","",IF(ISERROR(INDEX('Inventaire M'!$A$2:$AD$9319,MATCH(R660,'Inventaire M'!$A:$A,0)-1,MATCH("Cours EUR",'Inventaire M'!#REF!,0))),"Sell",INDEX('Inventaire M'!$A$2:$AD$9319,MATCH(R660,'Inventaire M'!$A:$A,0)-1,MATCH("Cours EUR",'Inventaire M'!#REF!,0))))</f>
        <v/>
      </c>
      <c r="W660" s="175"/>
      <c r="X660" s="156" t="str">
        <f>IF(R660="-","",INDEX('Inventaire M-1'!$A$2:$AG$9334,MATCH(R660,'Inventaire M-1'!$A:$A,0)-1,MATCH("quantite",'Inventaire M-1'!#REF!,0)))</f>
        <v/>
      </c>
      <c r="Y660" s="156" t="str">
        <f>IF(S660="-","",IF(ISERROR(INDEX('Inventaire M'!$A$2:$AD$9319,MATCH(R660,'Inventaire M'!$A:$A,0)-1,MATCH("quantite",'Inventaire M'!#REF!,0))),"Sell",INDEX('Inventaire M'!$A$2:$AD$9319,MATCH(R660,'Inventaire M'!$A:$A,0)-1,MATCH("quantite",'Inventaire M'!#REF!,0))))</f>
        <v/>
      </c>
      <c r="Z660" s="175"/>
      <c r="AA660" s="155" t="str">
        <f>IF(R660="-","",INDEX('Inventaire M-1'!$A$2:$AG$9334,MATCH(R660,'Inventaire M-1'!$A:$A,0)-1,MATCH("poids",'Inventaire M-1'!#REF!,0)))</f>
        <v/>
      </c>
      <c r="AB660" s="155" t="str">
        <f>IF(R660="-","",IF(ISERROR(INDEX('Inventaire M'!$A$2:$AD$9319,MATCH(R660,'Inventaire M'!$A:$A,0)-1,MATCH("poids",'Inventaire M'!#REF!,0))),"Sell",INDEX('Inventaire M'!$A$2:$AD$9319,MATCH(R660,'Inventaire M'!$A:$A,0)-1,MATCH("poids",'Inventaire M'!#REF!,0))))</f>
        <v/>
      </c>
      <c r="AC660" s="175"/>
      <c r="AD660" s="157" t="str">
        <f t="shared" si="69"/>
        <v>0</v>
      </c>
      <c r="AE660" s="98" t="str">
        <f t="shared" si="70"/>
        <v/>
      </c>
      <c r="AF660" s="80" t="str">
        <f t="shared" si="71"/>
        <v>-</v>
      </c>
    </row>
    <row r="661" spans="2:32" outlineLevel="1">
      <c r="B661" s="175" t="str">
        <f>IF(OR('Inventaire M'!D434="Dispo/Liquidité Investie",'Inventaire M'!D434="Option/Future",'Inventaire M'!D434="TCN",'Inventaire M'!D434=""),"-",'Inventaire M'!A434)</f>
        <v>-</v>
      </c>
      <c r="C661" s="175" t="str">
        <f>IF(OR('Inventaire M'!D434="Dispo/Liquidité Investie",'Inventaire M'!D434="Option/Future",'Inventaire M'!D434="TCN",'Inventaire M'!D434=""),"-",'Inventaire M'!B434)</f>
        <v>-</v>
      </c>
      <c r="D661" s="175"/>
      <c r="E661" s="175" t="str">
        <f>IF(B661="-","",INDEX('Inventaire M'!$A$2:$AW$9305,MATCH(B661,'Inventaire M'!$A:$A,0)-1,MATCH("Cours EUR",'Inventaire M'!#REF!,0)))</f>
        <v/>
      </c>
      <c r="F661" s="175" t="str">
        <f>IF(B661="-","",IF(ISERROR(INDEX('Inventaire M-1'!$A$2:$AZ$9320,MATCH(B661,'Inventaire M-1'!$A:$A,0)-1,MATCH("Cours EUR",'Inventaire M-1'!#REF!,0))),"Buy",INDEX('Inventaire M-1'!$A$2:$AZ$9320,MATCH(B661,'Inventaire M-1'!$A:$A,0)-1,MATCH("Cours EUR",'Inventaire M-1'!#REF!,0))))</f>
        <v/>
      </c>
      <c r="G661" s="175"/>
      <c r="H661" s="156" t="str">
        <f>IF(B661="-","",INDEX('Inventaire M'!$A$2:$AW$9305,MATCH(B661,'Inventaire M'!$A:$A,0)-1,MATCH("quantite",'Inventaire M'!#REF!,0)))</f>
        <v/>
      </c>
      <c r="I661" s="156" t="str">
        <f>IF(C661="-","",IF(ISERROR(INDEX('Inventaire M-1'!$A$2:$AZ$9320,MATCH(B661,'Inventaire M-1'!$A:$A,0)-1,MATCH("quantite",'Inventaire M-1'!#REF!,0))),"Buy",INDEX('Inventaire M-1'!$A$2:$AZ$9320,MATCH(B661,'Inventaire M-1'!$A:$A,0)-1,MATCH("quantite",'Inventaire M-1'!#REF!,0))))</f>
        <v/>
      </c>
      <c r="J661" s="175"/>
      <c r="K661" s="155" t="str">
        <f>IF(B661="-","",INDEX('Inventaire M'!$A$2:$AW$9305,MATCH(B661,'Inventaire M'!$A:$A,0)-1,MATCH("poids",'Inventaire M'!#REF!,0)))</f>
        <v/>
      </c>
      <c r="L661" s="155" t="str">
        <f>IF(B661="-","",IF(ISERROR(INDEX('Inventaire M-1'!$A$2:$AZ$9320,MATCH(B661,'Inventaire M-1'!$A:$A,0)-1,MATCH("poids",'Inventaire M-1'!#REF!,0))),"Buy",INDEX('Inventaire M-1'!$A$2:$AZ$9320,MATCH(B661,'Inventaire M-1'!$A:$A,0)-1,MATCH("poids",'Inventaire M-1'!#REF!,0))))</f>
        <v/>
      </c>
      <c r="M661" s="175"/>
      <c r="N661" s="157" t="str">
        <f t="shared" si="67"/>
        <v>0</v>
      </c>
      <c r="O661" s="98" t="str">
        <f t="shared" si="66"/>
        <v/>
      </c>
      <c r="P661" s="80" t="str">
        <f t="shared" si="68"/>
        <v>-</v>
      </c>
      <c r="Q661" s="75">
        <v>6.3699999999999995E-8</v>
      </c>
      <c r="R661" s="175" t="str">
        <f>IF(OR('Inventaire M-1'!D413="Dispo/Liquidité Investie",'Inventaire M-1'!D413="Option/Future",'Inventaire M-1'!D413="TCN",'Inventaire M-1'!D413=""),"-",'Inventaire M-1'!A413)</f>
        <v>-</v>
      </c>
      <c r="S661" s="175" t="str">
        <f>IF(OR('Inventaire M-1'!D413="Dispo/Liquidité Investie",'Inventaire M-1'!D413="Option/Future",'Inventaire M-1'!D413="TCN",'Inventaire M-1'!D413=""),"-",'Inventaire M-1'!B413)</f>
        <v>-</v>
      </c>
      <c r="T661" s="175"/>
      <c r="U661" s="175" t="str">
        <f>IF(R661="-","",INDEX('Inventaire M-1'!$A$2:$AG$9334,MATCH(R661,'Inventaire M-1'!$A:$A,0)-1,MATCH("Cours EUR",'Inventaire M-1'!#REF!,0)))</f>
        <v/>
      </c>
      <c r="V661" s="175" t="str">
        <f>IF(R661="-","",IF(ISERROR(INDEX('Inventaire M'!$A$2:$AD$9319,MATCH(R661,'Inventaire M'!$A:$A,0)-1,MATCH("Cours EUR",'Inventaire M'!#REF!,0))),"Sell",INDEX('Inventaire M'!$A$2:$AD$9319,MATCH(R661,'Inventaire M'!$A:$A,0)-1,MATCH("Cours EUR",'Inventaire M'!#REF!,0))))</f>
        <v/>
      </c>
      <c r="W661" s="175"/>
      <c r="X661" s="156" t="str">
        <f>IF(R661="-","",INDEX('Inventaire M-1'!$A$2:$AG$9334,MATCH(R661,'Inventaire M-1'!$A:$A,0)-1,MATCH("quantite",'Inventaire M-1'!#REF!,0)))</f>
        <v/>
      </c>
      <c r="Y661" s="156" t="str">
        <f>IF(S661="-","",IF(ISERROR(INDEX('Inventaire M'!$A$2:$AD$9319,MATCH(R661,'Inventaire M'!$A:$A,0)-1,MATCH("quantite",'Inventaire M'!#REF!,0))),"Sell",INDEX('Inventaire M'!$A$2:$AD$9319,MATCH(R661,'Inventaire M'!$A:$A,0)-1,MATCH("quantite",'Inventaire M'!#REF!,0))))</f>
        <v/>
      </c>
      <c r="Z661" s="175"/>
      <c r="AA661" s="155" t="str">
        <f>IF(R661="-","",INDEX('Inventaire M-1'!$A$2:$AG$9334,MATCH(R661,'Inventaire M-1'!$A:$A,0)-1,MATCH("poids",'Inventaire M-1'!#REF!,0)))</f>
        <v/>
      </c>
      <c r="AB661" s="155" t="str">
        <f>IF(R661="-","",IF(ISERROR(INDEX('Inventaire M'!$A$2:$AD$9319,MATCH(R661,'Inventaire M'!$A:$A,0)-1,MATCH("poids",'Inventaire M'!#REF!,0))),"Sell",INDEX('Inventaire M'!$A$2:$AD$9319,MATCH(R661,'Inventaire M'!$A:$A,0)-1,MATCH("poids",'Inventaire M'!#REF!,0))))</f>
        <v/>
      </c>
      <c r="AC661" s="175"/>
      <c r="AD661" s="157" t="str">
        <f t="shared" si="69"/>
        <v>0</v>
      </c>
      <c r="AE661" s="98" t="str">
        <f t="shared" si="70"/>
        <v/>
      </c>
      <c r="AF661" s="80" t="str">
        <f t="shared" si="71"/>
        <v>-</v>
      </c>
    </row>
    <row r="662" spans="2:32" outlineLevel="1">
      <c r="B662" s="175" t="str">
        <f>IF(OR('Inventaire M'!D435="Dispo/Liquidité Investie",'Inventaire M'!D435="Option/Future",'Inventaire M'!D435="TCN",'Inventaire M'!D435=""),"-",'Inventaire M'!A435)</f>
        <v>-</v>
      </c>
      <c r="C662" s="175" t="str">
        <f>IF(OR('Inventaire M'!D435="Dispo/Liquidité Investie",'Inventaire M'!D435="Option/Future",'Inventaire M'!D435="TCN",'Inventaire M'!D435=""),"-",'Inventaire M'!B435)</f>
        <v>-</v>
      </c>
      <c r="D662" s="175"/>
      <c r="E662" s="175" t="str">
        <f>IF(B662="-","",INDEX('Inventaire M'!$A$2:$AW$9305,MATCH(B662,'Inventaire M'!$A:$A,0)-1,MATCH("Cours EUR",'Inventaire M'!#REF!,0)))</f>
        <v/>
      </c>
      <c r="F662" s="175" t="str">
        <f>IF(B662="-","",IF(ISERROR(INDEX('Inventaire M-1'!$A$2:$AZ$9320,MATCH(B662,'Inventaire M-1'!$A:$A,0)-1,MATCH("Cours EUR",'Inventaire M-1'!#REF!,0))),"Buy",INDEX('Inventaire M-1'!$A$2:$AZ$9320,MATCH(B662,'Inventaire M-1'!$A:$A,0)-1,MATCH("Cours EUR",'Inventaire M-1'!#REF!,0))))</f>
        <v/>
      </c>
      <c r="G662" s="175"/>
      <c r="H662" s="156" t="str">
        <f>IF(B662="-","",INDEX('Inventaire M'!$A$2:$AW$9305,MATCH(B662,'Inventaire M'!$A:$A,0)-1,MATCH("quantite",'Inventaire M'!#REF!,0)))</f>
        <v/>
      </c>
      <c r="I662" s="156" t="str">
        <f>IF(C662="-","",IF(ISERROR(INDEX('Inventaire M-1'!$A$2:$AZ$9320,MATCH(B662,'Inventaire M-1'!$A:$A,0)-1,MATCH("quantite",'Inventaire M-1'!#REF!,0))),"Buy",INDEX('Inventaire M-1'!$A$2:$AZ$9320,MATCH(B662,'Inventaire M-1'!$A:$A,0)-1,MATCH("quantite",'Inventaire M-1'!#REF!,0))))</f>
        <v/>
      </c>
      <c r="J662" s="175"/>
      <c r="K662" s="155" t="str">
        <f>IF(B662="-","",INDEX('Inventaire M'!$A$2:$AW$9305,MATCH(B662,'Inventaire M'!$A:$A,0)-1,MATCH("poids",'Inventaire M'!#REF!,0)))</f>
        <v/>
      </c>
      <c r="L662" s="155" t="str">
        <f>IF(B662="-","",IF(ISERROR(INDEX('Inventaire M-1'!$A$2:$AZ$9320,MATCH(B662,'Inventaire M-1'!$A:$A,0)-1,MATCH("poids",'Inventaire M-1'!#REF!,0))),"Buy",INDEX('Inventaire M-1'!$A$2:$AZ$9320,MATCH(B662,'Inventaire M-1'!$A:$A,0)-1,MATCH("poids",'Inventaire M-1'!#REF!,0))))</f>
        <v/>
      </c>
      <c r="M662" s="175"/>
      <c r="N662" s="157" t="str">
        <f>IFERROR(IF(I662="Buy",H662,H662-I662),"0")</f>
        <v>0</v>
      </c>
      <c r="O662" s="98" t="str">
        <f t="shared" si="66"/>
        <v/>
      </c>
      <c r="P662" s="80" t="str">
        <f>C662</f>
        <v>-</v>
      </c>
      <c r="Q662" s="75">
        <v>6.3800000000000002E-8</v>
      </c>
      <c r="R662" s="175" t="str">
        <f>IF(OR('Inventaire M-1'!D414="Dispo/Liquidité Investie",'Inventaire M-1'!D414="Option/Future",'Inventaire M-1'!D414="TCN",'Inventaire M-1'!D414=""),"-",'Inventaire M-1'!A414)</f>
        <v>-</v>
      </c>
      <c r="S662" s="175" t="str">
        <f>IF(OR('Inventaire M-1'!D414="Dispo/Liquidité Investie",'Inventaire M-1'!D414="Option/Future",'Inventaire M-1'!D414="TCN",'Inventaire M-1'!D414=""),"-",'Inventaire M-1'!B414)</f>
        <v>-</v>
      </c>
      <c r="T662" s="175"/>
      <c r="U662" s="175" t="str">
        <f>IF(R662="-","",INDEX('Inventaire M-1'!$A$2:$AG$9334,MATCH(R662,'Inventaire M-1'!$A:$A,0)-1,MATCH("Cours EUR",'Inventaire M-1'!#REF!,0)))</f>
        <v/>
      </c>
      <c r="V662" s="175" t="str">
        <f>IF(R662="-","",IF(ISERROR(INDEX('Inventaire M'!$A$2:$AD$9319,MATCH(R662,'Inventaire M'!$A:$A,0)-1,MATCH("Cours EUR",'Inventaire M'!#REF!,0))),"Sell",INDEX('Inventaire M'!$A$2:$AD$9319,MATCH(R662,'Inventaire M'!$A:$A,0)-1,MATCH("Cours EUR",'Inventaire M'!#REF!,0))))</f>
        <v/>
      </c>
      <c r="W662" s="175"/>
      <c r="X662" s="156" t="str">
        <f>IF(R662="-","",INDEX('Inventaire M-1'!$A$2:$AG$9334,MATCH(R662,'Inventaire M-1'!$A:$A,0)-1,MATCH("quantite",'Inventaire M-1'!#REF!,0)))</f>
        <v/>
      </c>
      <c r="Y662" s="156" t="str">
        <f>IF(S662="-","",IF(ISERROR(INDEX('Inventaire M'!$A$2:$AD$9319,MATCH(R662,'Inventaire M'!$A:$A,0)-1,MATCH("quantite",'Inventaire M'!#REF!,0))),"Sell",INDEX('Inventaire M'!$A$2:$AD$9319,MATCH(R662,'Inventaire M'!$A:$A,0)-1,MATCH("quantite",'Inventaire M'!#REF!,0))))</f>
        <v/>
      </c>
      <c r="Z662" s="175"/>
      <c r="AA662" s="155" t="str">
        <f>IF(R662="-","",INDEX('Inventaire M-1'!$A$2:$AG$9334,MATCH(R662,'Inventaire M-1'!$A:$A,0)-1,MATCH("poids",'Inventaire M-1'!#REF!,0)))</f>
        <v/>
      </c>
      <c r="AB662" s="155" t="str">
        <f>IF(R662="-","",IF(ISERROR(INDEX('Inventaire M'!$A$2:$AD$9319,MATCH(R662,'Inventaire M'!$A:$A,0)-1,MATCH("poids",'Inventaire M'!#REF!,0))),"Sell",INDEX('Inventaire M'!$A$2:$AD$9319,MATCH(R662,'Inventaire M'!$A:$A,0)-1,MATCH("poids",'Inventaire M'!#REF!,0))))</f>
        <v/>
      </c>
      <c r="AC662" s="175"/>
      <c r="AD662" s="157" t="str">
        <f>IFERROR(IF(Y662="Sell",-X662,Y662-X662),"0")</f>
        <v>0</v>
      </c>
      <c r="AE662" s="98" t="str">
        <f>IFERROR(IF(AD662&lt;0,IF(AB662="Sell",AA662+10%,AB662-AA662)+Q662,""),"")</f>
        <v/>
      </c>
      <c r="AF662" s="80" t="str">
        <f>S662</f>
        <v>-</v>
      </c>
    </row>
  </sheetData>
  <mergeCells count="46">
    <mergeCell ref="S18:V18"/>
    <mergeCell ref="AA18:AB18"/>
    <mergeCell ref="K17:L17"/>
    <mergeCell ref="S10:V10"/>
    <mergeCell ref="AA10:AB10"/>
    <mergeCell ref="S11:V11"/>
    <mergeCell ref="AA11:AB11"/>
    <mergeCell ref="S12:V12"/>
    <mergeCell ref="AA12:AB12"/>
    <mergeCell ref="S13:V13"/>
    <mergeCell ref="AA13:AB13"/>
    <mergeCell ref="S14:V14"/>
    <mergeCell ref="AA14:AB14"/>
    <mergeCell ref="S15:V15"/>
    <mergeCell ref="AA15:AB15"/>
    <mergeCell ref="S16:V16"/>
    <mergeCell ref="AA16:AB16"/>
    <mergeCell ref="S17:V17"/>
    <mergeCell ref="K15:L15"/>
    <mergeCell ref="K16:L16"/>
    <mergeCell ref="AA17:AB17"/>
    <mergeCell ref="K11:L11"/>
    <mergeCell ref="K18:L18"/>
    <mergeCell ref="C9:F9"/>
    <mergeCell ref="C10:F10"/>
    <mergeCell ref="C11:F11"/>
    <mergeCell ref="C12:F12"/>
    <mergeCell ref="C13:F13"/>
    <mergeCell ref="C14:F14"/>
    <mergeCell ref="C15:F15"/>
    <mergeCell ref="C16:F16"/>
    <mergeCell ref="C17:F17"/>
    <mergeCell ref="C18:F18"/>
    <mergeCell ref="K12:L12"/>
    <mergeCell ref="K13:L13"/>
    <mergeCell ref="K14:L14"/>
    <mergeCell ref="K10:L10"/>
    <mergeCell ref="B3:O4"/>
    <mergeCell ref="R3:AE4"/>
    <mergeCell ref="C8:F8"/>
    <mergeCell ref="K8:L8"/>
    <mergeCell ref="K9:L9"/>
    <mergeCell ref="S8:V8"/>
    <mergeCell ref="AA8:AB8"/>
    <mergeCell ref="S9:V9"/>
    <mergeCell ref="AA9:AB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outlinePr showOutlineSymbols="0"/>
  </sheetPr>
  <dimension ref="A1:AS2"/>
  <sheetViews>
    <sheetView showGridLines="0" showOutlineSymbols="0" zoomScale="80" zoomScaleNormal="80" workbookViewId="0"/>
  </sheetViews>
  <sheetFormatPr baseColWidth="10" defaultRowHeight="15" outlineLevelRow="1"/>
  <cols>
    <col min="1" max="1" width="25.5703125" customWidth="1"/>
    <col min="2" max="2" width="13.140625" customWidth="1"/>
    <col min="3" max="3" width="23.5703125" customWidth="1"/>
    <col min="4" max="4" width="13.42578125" customWidth="1"/>
    <col min="5" max="5" width="16.7109375" customWidth="1"/>
    <col min="6" max="6" width="35.5703125" customWidth="1"/>
    <col min="7" max="7" width="21.7109375" customWidth="1"/>
    <col min="8" max="8" width="20.7109375" customWidth="1"/>
    <col min="9" max="9" width="69.5703125" customWidth="1"/>
    <col min="10" max="10" width="74.42578125" customWidth="1"/>
    <col min="11" max="11" width="23.140625" customWidth="1"/>
    <col min="12" max="12" width="32" customWidth="1"/>
    <col min="13" max="13" width="21.28515625" customWidth="1"/>
    <col min="14" max="14" width="12" customWidth="1"/>
    <col min="15" max="15" width="15.7109375" customWidth="1"/>
    <col min="16" max="16" width="15.5703125" customWidth="1"/>
    <col min="17" max="17" width="9.85546875" customWidth="1"/>
    <col min="18" max="18" width="20.5703125" customWidth="1"/>
    <col min="19" max="19" width="13.28515625" customWidth="1"/>
    <col min="20" max="20" width="3.7109375" customWidth="1"/>
    <col min="21" max="21" width="30.42578125" customWidth="1"/>
    <col min="22" max="22" width="26.5703125" customWidth="1"/>
    <col min="23" max="23" width="24.5703125" customWidth="1"/>
    <col min="24" max="24" width="18.7109375" customWidth="1"/>
    <col min="25" max="25" width="27.28515625" customWidth="1"/>
    <col min="26" max="26" width="13.140625" customWidth="1"/>
    <col min="27" max="27" width="21.7109375" customWidth="1"/>
    <col min="28" max="28" width="26.140625" customWidth="1"/>
    <col min="29" max="29" width="23.28515625" customWidth="1"/>
    <col min="30" max="30" width="30.42578125" customWidth="1"/>
    <col min="31" max="31" width="4.85546875" customWidth="1"/>
    <col min="32" max="32" width="59.5703125" customWidth="1"/>
    <col min="33" max="33" width="23.42578125" customWidth="1"/>
    <col min="34" max="34" width="53.140625" customWidth="1"/>
    <col min="35" max="35" width="250.7109375" customWidth="1"/>
    <col min="36" max="36" width="29.42578125" customWidth="1"/>
    <col min="37" max="37" width="20.28515625" customWidth="1"/>
    <col min="38" max="38" width="75" customWidth="1"/>
    <col min="39" max="39" width="255.7109375" customWidth="1"/>
    <col min="40" max="40" width="143.85546875" customWidth="1"/>
    <col min="41" max="41" width="13.140625" customWidth="1"/>
    <col min="42" max="42" width="19.42578125" customWidth="1"/>
    <col min="43" max="43" width="33" customWidth="1"/>
    <col min="44" max="44" width="19.5703125" customWidth="1"/>
    <col min="45" max="45" width="33.140625" customWidth="1"/>
  </cols>
  <sheetData>
    <row r="1" spans="1:45" ht="15" customHeight="1" outlineLevel="1">
      <c r="A1" s="136" t="s">
        <v>108</v>
      </c>
      <c r="B1" s="136" t="s">
        <v>106</v>
      </c>
      <c r="C1" s="136" t="s">
        <v>107</v>
      </c>
      <c r="D1" s="136" t="s">
        <v>104</v>
      </c>
      <c r="E1" s="136" t="s">
        <v>105</v>
      </c>
      <c r="F1" s="136" t="s">
        <v>103</v>
      </c>
      <c r="G1" s="136" t="s">
        <v>102</v>
      </c>
      <c r="H1" s="136" t="s">
        <v>101</v>
      </c>
      <c r="I1" s="136" t="s">
        <v>100</v>
      </c>
      <c r="J1" s="136" t="s">
        <v>99</v>
      </c>
      <c r="K1" s="136" t="s">
        <v>98</v>
      </c>
      <c r="L1" s="136" t="s">
        <v>97</v>
      </c>
      <c r="M1" s="136" t="s">
        <v>96</v>
      </c>
      <c r="N1" s="136" t="s">
        <v>95</v>
      </c>
      <c r="O1" s="136" t="s">
        <v>94</v>
      </c>
      <c r="P1" s="136" t="s">
        <v>93</v>
      </c>
      <c r="Q1" s="136" t="s">
        <v>92</v>
      </c>
      <c r="R1" s="136" t="s">
        <v>91</v>
      </c>
      <c r="S1" s="136" t="s">
        <v>90</v>
      </c>
      <c r="T1" s="136" t="s">
        <v>89</v>
      </c>
      <c r="U1" s="136" t="s">
        <v>88</v>
      </c>
      <c r="V1" s="136" t="s">
        <v>87</v>
      </c>
      <c r="W1" s="136" t="s">
        <v>86</v>
      </c>
      <c r="X1" s="136" t="s">
        <v>85</v>
      </c>
      <c r="Y1" s="136" t="s">
        <v>84</v>
      </c>
      <c r="Z1" s="136" t="s">
        <v>83</v>
      </c>
      <c r="AA1" s="136" t="s">
        <v>82</v>
      </c>
      <c r="AB1" s="136" t="s">
        <v>81</v>
      </c>
      <c r="AC1" s="136" t="s">
        <v>76</v>
      </c>
      <c r="AD1" s="136" t="s">
        <v>74</v>
      </c>
      <c r="AE1" s="136" t="s">
        <v>73</v>
      </c>
      <c r="AF1" s="136" t="s">
        <v>72</v>
      </c>
      <c r="AG1" s="136" t="s">
        <v>71</v>
      </c>
      <c r="AH1" s="136" t="s">
        <v>70</v>
      </c>
      <c r="AI1" s="136" t="s">
        <v>69</v>
      </c>
      <c r="AJ1" s="136" t="s">
        <v>122</v>
      </c>
      <c r="AK1" s="136" t="s">
        <v>253</v>
      </c>
      <c r="AL1" s="136" t="s">
        <v>252</v>
      </c>
      <c r="AM1" s="136" t="s">
        <v>251</v>
      </c>
      <c r="AN1" s="136" t="s">
        <v>250</v>
      </c>
      <c r="AO1" s="136" t="s">
        <v>75</v>
      </c>
      <c r="AP1" s="136" t="s">
        <v>80</v>
      </c>
      <c r="AQ1" s="136" t="s">
        <v>79</v>
      </c>
      <c r="AR1" s="136" t="s">
        <v>78</v>
      </c>
      <c r="AS1" s="136" t="s">
        <v>77</v>
      </c>
    </row>
    <row r="2" spans="1:45" ht="30" customHeight="1" outlineLevel="1">
      <c r="A2" s="170" t="s">
        <v>259</v>
      </c>
      <c r="B2" s="170" t="s">
        <v>217</v>
      </c>
      <c r="C2" s="170" t="s">
        <v>1429</v>
      </c>
      <c r="D2" s="170" t="s">
        <v>189</v>
      </c>
      <c r="E2" s="170" t="s">
        <v>216</v>
      </c>
      <c r="F2" s="170" t="s">
        <v>197</v>
      </c>
      <c r="G2" s="170" t="s">
        <v>188</v>
      </c>
      <c r="H2" s="170" t="s">
        <v>68</v>
      </c>
      <c r="I2" s="170" t="s">
        <v>196</v>
      </c>
      <c r="J2" s="170" t="s">
        <v>228</v>
      </c>
      <c r="K2" s="170" t="s">
        <v>233</v>
      </c>
      <c r="L2" s="170" t="s">
        <v>242</v>
      </c>
      <c r="M2" s="170" t="s">
        <v>67</v>
      </c>
      <c r="N2" s="170" t="s">
        <v>234</v>
      </c>
      <c r="O2" s="170" t="s">
        <v>39</v>
      </c>
      <c r="P2" s="170" t="s">
        <v>249</v>
      </c>
      <c r="Q2" s="170" t="s">
        <v>215</v>
      </c>
      <c r="R2" s="170" t="s">
        <v>187</v>
      </c>
      <c r="S2" s="170" t="s">
        <v>191</v>
      </c>
      <c r="T2" s="170" t="s">
        <v>191</v>
      </c>
      <c r="U2" s="170" t="s">
        <v>258</v>
      </c>
      <c r="V2" s="170" t="s">
        <v>40</v>
      </c>
      <c r="W2" s="170" t="s">
        <v>186</v>
      </c>
      <c r="X2" s="170" t="s">
        <v>185</v>
      </c>
      <c r="Y2" s="170" t="s">
        <v>66</v>
      </c>
      <c r="Z2" s="170" t="s">
        <v>185</v>
      </c>
      <c r="AA2" s="170" t="s">
        <v>66</v>
      </c>
      <c r="AB2" s="170" t="s">
        <v>204</v>
      </c>
      <c r="AC2" s="170" t="s">
        <v>40</v>
      </c>
      <c r="AD2" s="170" t="s">
        <v>40</v>
      </c>
      <c r="AE2" s="170" t="s">
        <v>45</v>
      </c>
      <c r="AF2" s="143" t="s">
        <v>202</v>
      </c>
      <c r="AG2" s="170" t="s">
        <v>65</v>
      </c>
      <c r="AH2" s="170" t="s">
        <v>64</v>
      </c>
      <c r="AI2" s="170" t="s">
        <v>1428</v>
      </c>
      <c r="AJ2" s="170" t="s">
        <v>40</v>
      </c>
      <c r="AK2" s="170" t="s">
        <v>40</v>
      </c>
      <c r="AL2" s="170" t="s">
        <v>257</v>
      </c>
      <c r="AM2" s="170" t="s">
        <v>256</v>
      </c>
      <c r="AN2" s="143" t="s">
        <v>255</v>
      </c>
      <c r="AO2" s="175">
        <v>5.7000000000000002E-3</v>
      </c>
      <c r="AP2" s="175">
        <v>0</v>
      </c>
      <c r="AQ2" s="175">
        <v>0.02</v>
      </c>
      <c r="AR2" s="175">
        <v>0</v>
      </c>
      <c r="AS2" s="175">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FF0000"/>
    <outlinePr showOutlineSymbols="0"/>
    <pageSetUpPr fitToPage="1"/>
  </sheetPr>
  <dimension ref="A1:AQ59"/>
  <sheetViews>
    <sheetView showGridLines="0" showOutlineSymbols="0" view="pageBreakPreview" zoomScaleNormal="40" zoomScaleSheetLayoutView="100" workbookViewId="0">
      <selection sqref="A1:AG3"/>
    </sheetView>
  </sheetViews>
  <sheetFormatPr baseColWidth="10" defaultColWidth="4.7109375" defaultRowHeight="15" customHeight="1" outlineLevelRow="1"/>
  <cols>
    <col min="43" max="43" width="4.7109375" customWidth="1"/>
  </cols>
  <sheetData>
    <row r="1" spans="1:43" s="175" customFormat="1" ht="15" customHeight="1" outlineLevel="1">
      <c r="A1" s="255">
        <f>Données!$A$3</f>
        <v>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row>
    <row r="2" spans="1:43" s="175" customFormat="1" ht="15" customHeight="1" outlineLevel="1">
      <c r="A2" s="257"/>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row>
    <row r="3" spans="1:43" s="175" customFormat="1" ht="15" customHeight="1" outlineLevel="1">
      <c r="A3" s="257"/>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row>
    <row r="4" spans="1:43" s="175" customFormat="1" ht="15" customHeight="1" outlineLevel="1">
      <c r="A4" s="258" t="e">
        <f>'Report (p1)'!A4:AG5</f>
        <v>#VALUE!</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135"/>
      <c r="AI4" s="135"/>
      <c r="AJ4" s="135"/>
      <c r="AK4" s="135"/>
      <c r="AL4" s="135"/>
      <c r="AM4" s="135"/>
      <c r="AN4" s="135"/>
      <c r="AO4" s="135"/>
      <c r="AP4" s="135"/>
      <c r="AQ4" s="135"/>
    </row>
    <row r="5" spans="1:43" s="175" customFormat="1" ht="15" customHeight="1" outlineLevel="1">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135"/>
      <c r="AI5" s="135"/>
      <c r="AJ5" s="135"/>
      <c r="AK5" s="135"/>
      <c r="AL5" s="135"/>
      <c r="AM5" s="135"/>
      <c r="AN5" s="135"/>
      <c r="AO5" s="135"/>
      <c r="AP5" s="135"/>
      <c r="AQ5" s="135"/>
    </row>
    <row r="6" spans="1:43" ht="15" customHeight="1" outlineLevel="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row>
    <row r="7" spans="1:43" ht="15" customHeight="1" outlineLevel="1">
      <c r="A7" s="233" t="s">
        <v>229</v>
      </c>
      <c r="B7" s="234"/>
      <c r="C7" s="234"/>
      <c r="D7" s="234"/>
      <c r="E7" s="234"/>
      <c r="F7" s="234"/>
      <c r="G7" s="234"/>
      <c r="H7" s="234"/>
      <c r="I7" s="234"/>
      <c r="J7" s="234"/>
      <c r="K7" s="234"/>
      <c r="L7" s="234"/>
      <c r="M7" s="234"/>
      <c r="N7" s="234"/>
      <c r="O7" s="234"/>
      <c r="P7" s="234"/>
      <c r="Q7" s="234"/>
      <c r="R7" s="234"/>
      <c r="S7" s="234"/>
      <c r="T7" s="234"/>
      <c r="U7" s="234"/>
      <c r="V7" s="234"/>
      <c r="W7" s="235"/>
      <c r="X7" s="39"/>
      <c r="Y7" s="233" t="s">
        <v>181</v>
      </c>
      <c r="Z7" s="234"/>
      <c r="AA7" s="234"/>
      <c r="AB7" s="234"/>
      <c r="AC7" s="234"/>
      <c r="AD7" s="234"/>
      <c r="AE7" s="234"/>
      <c r="AF7" s="234"/>
      <c r="AG7" s="234"/>
      <c r="AH7" s="234"/>
      <c r="AI7" s="234"/>
      <c r="AJ7" s="234"/>
      <c r="AK7" s="234"/>
      <c r="AL7" s="234"/>
      <c r="AM7" s="234"/>
      <c r="AN7" s="234"/>
      <c r="AO7" s="234"/>
      <c r="AP7" s="234"/>
      <c r="AQ7" s="235"/>
    </row>
    <row r="8" spans="1:43" ht="15" customHeight="1" outlineLevel="1">
      <c r="A8" s="102"/>
      <c r="B8" s="102"/>
      <c r="C8" s="102"/>
      <c r="D8" s="102"/>
      <c r="E8" s="102"/>
      <c r="F8" s="102"/>
      <c r="G8" s="102"/>
      <c r="H8" s="102"/>
      <c r="I8" s="102"/>
      <c r="J8" s="102"/>
      <c r="K8" s="102"/>
      <c r="L8" s="102"/>
      <c r="M8" s="102"/>
      <c r="N8" s="102"/>
      <c r="O8" s="102"/>
      <c r="P8" s="102"/>
      <c r="Q8" s="102"/>
      <c r="R8" s="102"/>
      <c r="S8" s="102"/>
      <c r="T8" s="102"/>
      <c r="U8" s="102"/>
      <c r="V8" s="102"/>
      <c r="W8" s="102"/>
      <c r="X8" s="39"/>
      <c r="Y8" s="87"/>
      <c r="Z8" s="85"/>
      <c r="AA8" s="85"/>
      <c r="AB8" s="85"/>
      <c r="AC8" s="85"/>
      <c r="AD8" s="85"/>
      <c r="AE8" s="85"/>
      <c r="AF8" s="85"/>
      <c r="AG8" s="85"/>
      <c r="AH8" s="85"/>
      <c r="AI8" s="85"/>
      <c r="AJ8" s="85"/>
      <c r="AK8" s="85"/>
      <c r="AL8" s="85"/>
      <c r="AM8" s="85"/>
      <c r="AN8" s="85"/>
      <c r="AO8" s="85"/>
      <c r="AP8" s="85"/>
      <c r="AQ8" s="88"/>
    </row>
    <row r="9" spans="1:43" ht="15" customHeight="1" outlineLevel="1">
      <c r="A9" s="309" t="s">
        <v>164</v>
      </c>
      <c r="B9" s="310"/>
      <c r="C9" s="310"/>
      <c r="D9" s="310"/>
      <c r="E9" s="310"/>
      <c r="F9" s="310"/>
      <c r="G9" s="310"/>
      <c r="H9" s="310"/>
      <c r="I9" s="310"/>
      <c r="J9" s="309" t="s">
        <v>165</v>
      </c>
      <c r="K9" s="311"/>
      <c r="L9" s="309" t="s">
        <v>166</v>
      </c>
      <c r="M9" s="310"/>
      <c r="N9" s="310"/>
      <c r="O9" s="310"/>
      <c r="P9" s="309" t="s">
        <v>33</v>
      </c>
      <c r="Q9" s="311"/>
      <c r="R9" s="309" t="s">
        <v>167</v>
      </c>
      <c r="S9" s="310"/>
      <c r="T9" s="311"/>
      <c r="U9" s="345" t="s">
        <v>214</v>
      </c>
      <c r="V9" s="346"/>
      <c r="W9" s="347"/>
      <c r="X9" s="39"/>
      <c r="Y9" s="87"/>
      <c r="Z9" s="85"/>
      <c r="AA9" s="85"/>
      <c r="AB9" s="85"/>
      <c r="AC9" s="85"/>
      <c r="AD9" s="85"/>
      <c r="AE9" s="85"/>
      <c r="AF9" s="85"/>
      <c r="AG9" s="85"/>
      <c r="AH9" s="85"/>
      <c r="AI9" s="85"/>
      <c r="AJ9" s="85"/>
      <c r="AK9" s="85"/>
      <c r="AL9" s="85"/>
      <c r="AM9" s="85"/>
      <c r="AN9" s="85"/>
      <c r="AO9" s="85"/>
      <c r="AP9" s="85"/>
      <c r="AQ9" s="88"/>
    </row>
    <row r="10" spans="1:43" ht="15" customHeight="1" outlineLevel="1">
      <c r="A10" s="314" t="e">
        <f>'Principales Lignes &amp; Contrib'!#REF!</f>
        <v>#REF!</v>
      </c>
      <c r="B10" s="315"/>
      <c r="C10" s="315"/>
      <c r="D10" s="315"/>
      <c r="E10" s="315"/>
      <c r="F10" s="315"/>
      <c r="G10" s="315"/>
      <c r="H10" s="315"/>
      <c r="I10" s="316"/>
      <c r="J10" s="302" t="e">
        <f>'Principales Lignes &amp; Contrib'!#REF!</f>
        <v>#REF!</v>
      </c>
      <c r="K10" s="216"/>
      <c r="L10" s="350" t="e">
        <f>'Principales Lignes &amp; Contrib'!#REF!</f>
        <v>#REF!</v>
      </c>
      <c r="M10" s="215"/>
      <c r="N10" s="215"/>
      <c r="O10" s="216"/>
      <c r="P10" s="348" t="e">
        <f>'Principales Lignes &amp; Contrib'!#REF!</f>
        <v>#REF!</v>
      </c>
      <c r="Q10" s="349"/>
      <c r="R10" s="350" t="e">
        <f>'Principales Lignes &amp; Contrib'!#REF!</f>
        <v>#REF!</v>
      </c>
      <c r="S10" s="351"/>
      <c r="T10" s="352"/>
      <c r="U10" s="353" t="e">
        <f>'Principales Lignes &amp; Contrib'!#REF!</f>
        <v>#REF!</v>
      </c>
      <c r="V10" s="354"/>
      <c r="W10" s="216"/>
      <c r="X10" s="39"/>
      <c r="Y10" s="87"/>
      <c r="Z10" s="85"/>
      <c r="AA10" s="85"/>
      <c r="AB10" s="85"/>
      <c r="AC10" s="85"/>
      <c r="AD10" s="85"/>
      <c r="AE10" s="85"/>
      <c r="AF10" s="85"/>
      <c r="AG10" s="85"/>
      <c r="AH10" s="85"/>
      <c r="AI10" s="85"/>
      <c r="AJ10" s="85"/>
      <c r="AK10" s="85"/>
      <c r="AL10" s="85"/>
      <c r="AM10" s="85"/>
      <c r="AN10" s="85"/>
      <c r="AO10" s="85"/>
      <c r="AP10" s="85"/>
      <c r="AQ10" s="88"/>
    </row>
    <row r="11" spans="1:43" ht="15" customHeight="1" outlineLevel="1">
      <c r="A11" s="306" t="e">
        <f>'Principales Lignes &amp; Contrib'!#REF!</f>
        <v>#REF!</v>
      </c>
      <c r="B11" s="307"/>
      <c r="C11" s="307"/>
      <c r="D11" s="307"/>
      <c r="E11" s="307"/>
      <c r="F11" s="307"/>
      <c r="G11" s="307"/>
      <c r="H11" s="307"/>
      <c r="I11" s="308"/>
      <c r="J11" s="312" t="e">
        <f>'Principales Lignes &amp; Contrib'!#REF!</f>
        <v>#REF!</v>
      </c>
      <c r="K11" s="313"/>
      <c r="L11" s="312" t="e">
        <f>'Principales Lignes &amp; Contrib'!#REF!</f>
        <v>#REF!</v>
      </c>
      <c r="M11" s="210"/>
      <c r="N11" s="210"/>
      <c r="O11" s="313"/>
      <c r="P11" s="324" t="e">
        <f>'Principales Lignes &amp; Contrib'!#REF!</f>
        <v>#REF!</v>
      </c>
      <c r="Q11" s="325"/>
      <c r="R11" s="317" t="e">
        <f>'Principales Lignes &amp; Contrib'!#REF!</f>
        <v>#REF!</v>
      </c>
      <c r="S11" s="318"/>
      <c r="T11" s="319"/>
      <c r="U11" s="320" t="e">
        <f>'Principales Lignes &amp; Contrib'!#REF!</f>
        <v>#REF!</v>
      </c>
      <c r="V11" s="321"/>
      <c r="W11" s="322"/>
      <c r="X11" s="39"/>
      <c r="Y11" s="87"/>
      <c r="Z11" s="85"/>
      <c r="AA11" s="85"/>
      <c r="AB11" s="85"/>
      <c r="AC11" s="85"/>
      <c r="AD11" s="85"/>
      <c r="AE11" s="85"/>
      <c r="AF11" s="85"/>
      <c r="AG11" s="85"/>
      <c r="AH11" s="85"/>
      <c r="AI11" s="85"/>
      <c r="AJ11" s="85"/>
      <c r="AK11" s="85"/>
      <c r="AL11" s="85"/>
      <c r="AM11" s="85"/>
      <c r="AN11" s="85"/>
      <c r="AO11" s="85"/>
      <c r="AP11" s="85"/>
      <c r="AQ11" s="88"/>
    </row>
    <row r="12" spans="1:43" ht="15" customHeight="1" outlineLevel="1">
      <c r="A12" s="306" t="e">
        <f>'Principales Lignes &amp; Contrib'!#REF!</f>
        <v>#REF!</v>
      </c>
      <c r="B12" s="307"/>
      <c r="C12" s="307"/>
      <c r="D12" s="307"/>
      <c r="E12" s="307"/>
      <c r="F12" s="307"/>
      <c r="G12" s="307"/>
      <c r="H12" s="307"/>
      <c r="I12" s="308"/>
      <c r="J12" s="312" t="e">
        <f>'Principales Lignes &amp; Contrib'!#REF!</f>
        <v>#REF!</v>
      </c>
      <c r="K12" s="313"/>
      <c r="L12" s="312" t="e">
        <f>'Principales Lignes &amp; Contrib'!#REF!</f>
        <v>#REF!</v>
      </c>
      <c r="M12" s="210"/>
      <c r="N12" s="210"/>
      <c r="O12" s="313"/>
      <c r="P12" s="324" t="e">
        <f>'Principales Lignes &amp; Contrib'!#REF!</f>
        <v>#REF!</v>
      </c>
      <c r="Q12" s="325"/>
      <c r="R12" s="317" t="e">
        <f>'Principales Lignes &amp; Contrib'!#REF!</f>
        <v>#REF!</v>
      </c>
      <c r="S12" s="318"/>
      <c r="T12" s="319"/>
      <c r="U12" s="320" t="e">
        <f>'Principales Lignes &amp; Contrib'!#REF!</f>
        <v>#REF!</v>
      </c>
      <c r="V12" s="321"/>
      <c r="W12" s="322"/>
      <c r="X12" s="39"/>
      <c r="Y12" s="87"/>
      <c r="Z12" s="85"/>
      <c r="AA12" s="85"/>
      <c r="AB12" s="85"/>
      <c r="AC12" s="85"/>
      <c r="AD12" s="85"/>
      <c r="AE12" s="85"/>
      <c r="AF12" s="85"/>
      <c r="AG12" s="85"/>
      <c r="AH12" s="85"/>
      <c r="AI12" s="85"/>
      <c r="AJ12" s="85"/>
      <c r="AK12" s="85"/>
      <c r="AL12" s="85"/>
      <c r="AM12" s="85"/>
      <c r="AN12" s="85"/>
      <c r="AO12" s="85"/>
      <c r="AP12" s="85"/>
      <c r="AQ12" s="88"/>
    </row>
    <row r="13" spans="1:43" ht="15" customHeight="1" outlineLevel="1">
      <c r="A13" s="306" t="e">
        <f>'Principales Lignes &amp; Contrib'!#REF!</f>
        <v>#REF!</v>
      </c>
      <c r="B13" s="307"/>
      <c r="C13" s="307"/>
      <c r="D13" s="307"/>
      <c r="E13" s="307"/>
      <c r="F13" s="307"/>
      <c r="G13" s="307"/>
      <c r="H13" s="307"/>
      <c r="I13" s="308"/>
      <c r="J13" s="312" t="e">
        <f>'Principales Lignes &amp; Contrib'!#REF!</f>
        <v>#REF!</v>
      </c>
      <c r="K13" s="313"/>
      <c r="L13" s="312" t="e">
        <f>'Principales Lignes &amp; Contrib'!#REF!</f>
        <v>#REF!</v>
      </c>
      <c r="M13" s="210"/>
      <c r="N13" s="210"/>
      <c r="O13" s="313"/>
      <c r="P13" s="324" t="e">
        <f>'Principales Lignes &amp; Contrib'!#REF!</f>
        <v>#REF!</v>
      </c>
      <c r="Q13" s="325"/>
      <c r="R13" s="317" t="e">
        <f>'Principales Lignes &amp; Contrib'!#REF!</f>
        <v>#REF!</v>
      </c>
      <c r="S13" s="318"/>
      <c r="T13" s="319"/>
      <c r="U13" s="320" t="e">
        <f>'Principales Lignes &amp; Contrib'!#REF!</f>
        <v>#REF!</v>
      </c>
      <c r="V13" s="321"/>
      <c r="W13" s="322"/>
      <c r="X13" s="39"/>
      <c r="Y13" s="87"/>
      <c r="Z13" s="85"/>
      <c r="AA13" s="85"/>
      <c r="AB13" s="85"/>
      <c r="AC13" s="85"/>
      <c r="AD13" s="85"/>
      <c r="AE13" s="85"/>
      <c r="AF13" s="85"/>
      <c r="AG13" s="85"/>
      <c r="AH13" s="85"/>
      <c r="AI13" s="85"/>
      <c r="AJ13" s="85"/>
      <c r="AK13" s="85"/>
      <c r="AL13" s="85"/>
      <c r="AM13" s="85"/>
      <c r="AN13" s="85"/>
      <c r="AO13" s="85"/>
      <c r="AP13" s="85"/>
      <c r="AQ13" s="88"/>
    </row>
    <row r="14" spans="1:43" ht="15" customHeight="1" outlineLevel="1">
      <c r="A14" s="306" t="e">
        <f>'Principales Lignes &amp; Contrib'!#REF!</f>
        <v>#REF!</v>
      </c>
      <c r="B14" s="307"/>
      <c r="C14" s="307"/>
      <c r="D14" s="307"/>
      <c r="E14" s="307"/>
      <c r="F14" s="307"/>
      <c r="G14" s="307"/>
      <c r="H14" s="307"/>
      <c r="I14" s="308"/>
      <c r="J14" s="312" t="e">
        <f>'Principales Lignes &amp; Contrib'!#REF!</f>
        <v>#REF!</v>
      </c>
      <c r="K14" s="313"/>
      <c r="L14" s="312" t="e">
        <f>'Principales Lignes &amp; Contrib'!#REF!</f>
        <v>#REF!</v>
      </c>
      <c r="M14" s="210"/>
      <c r="N14" s="210"/>
      <c r="O14" s="313"/>
      <c r="P14" s="324" t="e">
        <f>'Principales Lignes &amp; Contrib'!#REF!</f>
        <v>#REF!</v>
      </c>
      <c r="Q14" s="325"/>
      <c r="R14" s="317" t="e">
        <f>'Principales Lignes &amp; Contrib'!#REF!</f>
        <v>#REF!</v>
      </c>
      <c r="S14" s="318"/>
      <c r="T14" s="319"/>
      <c r="U14" s="320" t="e">
        <f>'Principales Lignes &amp; Contrib'!#REF!</f>
        <v>#REF!</v>
      </c>
      <c r="V14" s="321"/>
      <c r="W14" s="322"/>
      <c r="X14" s="39"/>
      <c r="Y14" s="87"/>
      <c r="Z14" s="85"/>
      <c r="AA14" s="85"/>
      <c r="AB14" s="85"/>
      <c r="AC14" s="85"/>
      <c r="AD14" s="85"/>
      <c r="AE14" s="85"/>
      <c r="AF14" s="85"/>
      <c r="AG14" s="85"/>
      <c r="AH14" s="85"/>
      <c r="AI14" s="85"/>
      <c r="AJ14" s="85"/>
      <c r="AK14" s="85"/>
      <c r="AL14" s="85"/>
      <c r="AM14" s="85"/>
      <c r="AN14" s="85"/>
      <c r="AO14" s="85"/>
      <c r="AP14" s="85"/>
      <c r="AQ14" s="88"/>
    </row>
    <row r="15" spans="1:43" ht="15" customHeight="1" outlineLevel="1">
      <c r="A15" s="306" t="e">
        <f>'Principales Lignes &amp; Contrib'!#REF!</f>
        <v>#REF!</v>
      </c>
      <c r="B15" s="307"/>
      <c r="C15" s="307"/>
      <c r="D15" s="307"/>
      <c r="E15" s="307"/>
      <c r="F15" s="307"/>
      <c r="G15" s="307"/>
      <c r="H15" s="307"/>
      <c r="I15" s="308"/>
      <c r="J15" s="312" t="e">
        <f>'Principales Lignes &amp; Contrib'!#REF!</f>
        <v>#REF!</v>
      </c>
      <c r="K15" s="313"/>
      <c r="L15" s="312" t="e">
        <f>'Principales Lignes &amp; Contrib'!#REF!</f>
        <v>#REF!</v>
      </c>
      <c r="M15" s="210"/>
      <c r="N15" s="210"/>
      <c r="O15" s="313"/>
      <c r="P15" s="324" t="e">
        <f>'Principales Lignes &amp; Contrib'!#REF!</f>
        <v>#REF!</v>
      </c>
      <c r="Q15" s="325"/>
      <c r="R15" s="317" t="e">
        <f>'Principales Lignes &amp; Contrib'!#REF!</f>
        <v>#REF!</v>
      </c>
      <c r="S15" s="318"/>
      <c r="T15" s="319"/>
      <c r="U15" s="320" t="e">
        <f>'Principales Lignes &amp; Contrib'!#REF!</f>
        <v>#REF!</v>
      </c>
      <c r="V15" s="321"/>
      <c r="W15" s="322"/>
      <c r="X15" s="39"/>
      <c r="Y15" s="87"/>
      <c r="Z15" s="85"/>
      <c r="AA15" s="85"/>
      <c r="AB15" s="85"/>
      <c r="AC15" s="85"/>
      <c r="AD15" s="85"/>
      <c r="AE15" s="85"/>
      <c r="AF15" s="85"/>
      <c r="AG15" s="85"/>
      <c r="AH15" s="85"/>
      <c r="AI15" s="85"/>
      <c r="AJ15" s="85"/>
      <c r="AK15" s="85"/>
      <c r="AL15" s="85"/>
      <c r="AM15" s="85"/>
      <c r="AN15" s="85"/>
      <c r="AO15" s="85"/>
      <c r="AP15" s="85"/>
      <c r="AQ15" s="88"/>
    </row>
    <row r="16" spans="1:43" ht="15" customHeight="1" outlineLevel="1">
      <c r="A16" s="306" t="e">
        <f>'Principales Lignes &amp; Contrib'!#REF!</f>
        <v>#REF!</v>
      </c>
      <c r="B16" s="307"/>
      <c r="C16" s="307"/>
      <c r="D16" s="307"/>
      <c r="E16" s="307"/>
      <c r="F16" s="307"/>
      <c r="G16" s="307"/>
      <c r="H16" s="307"/>
      <c r="I16" s="308"/>
      <c r="J16" s="312" t="e">
        <f>'Principales Lignes &amp; Contrib'!#REF!</f>
        <v>#REF!</v>
      </c>
      <c r="K16" s="313"/>
      <c r="L16" s="312" t="e">
        <f>'Principales Lignes &amp; Contrib'!#REF!</f>
        <v>#REF!</v>
      </c>
      <c r="M16" s="210"/>
      <c r="N16" s="210"/>
      <c r="O16" s="313"/>
      <c r="P16" s="324" t="e">
        <f>'Principales Lignes &amp; Contrib'!#REF!</f>
        <v>#REF!</v>
      </c>
      <c r="Q16" s="325"/>
      <c r="R16" s="317" t="e">
        <f>'Principales Lignes &amp; Contrib'!#REF!</f>
        <v>#REF!</v>
      </c>
      <c r="S16" s="318"/>
      <c r="T16" s="319"/>
      <c r="U16" s="320" t="e">
        <f>'Principales Lignes &amp; Contrib'!#REF!</f>
        <v>#REF!</v>
      </c>
      <c r="V16" s="321"/>
      <c r="W16" s="322"/>
      <c r="X16" s="39"/>
      <c r="Y16" s="87"/>
      <c r="Z16" s="85"/>
      <c r="AA16" s="85"/>
      <c r="AB16" s="85"/>
      <c r="AC16" s="85"/>
      <c r="AD16" s="85"/>
      <c r="AE16" s="85"/>
      <c r="AF16" s="85"/>
      <c r="AG16" s="85"/>
      <c r="AH16" s="85"/>
      <c r="AI16" s="85"/>
      <c r="AJ16" s="85"/>
      <c r="AK16" s="85"/>
      <c r="AL16" s="85"/>
      <c r="AM16" s="85"/>
      <c r="AN16" s="85"/>
      <c r="AO16" s="85"/>
      <c r="AP16" s="85"/>
      <c r="AQ16" s="88"/>
    </row>
    <row r="17" spans="1:43" ht="15" customHeight="1" outlineLevel="1">
      <c r="A17" s="306" t="e">
        <f>'Principales Lignes &amp; Contrib'!#REF!</f>
        <v>#REF!</v>
      </c>
      <c r="B17" s="307"/>
      <c r="C17" s="307"/>
      <c r="D17" s="307"/>
      <c r="E17" s="307"/>
      <c r="F17" s="307"/>
      <c r="G17" s="307"/>
      <c r="H17" s="307"/>
      <c r="I17" s="308"/>
      <c r="J17" s="312" t="e">
        <f>'Principales Lignes &amp; Contrib'!#REF!</f>
        <v>#REF!</v>
      </c>
      <c r="K17" s="313"/>
      <c r="L17" s="312" t="e">
        <f>'Principales Lignes &amp; Contrib'!#REF!</f>
        <v>#REF!</v>
      </c>
      <c r="M17" s="210"/>
      <c r="N17" s="210"/>
      <c r="O17" s="313"/>
      <c r="P17" s="324" t="e">
        <f>'Principales Lignes &amp; Contrib'!#REF!</f>
        <v>#REF!</v>
      </c>
      <c r="Q17" s="325"/>
      <c r="R17" s="317" t="e">
        <f>'Principales Lignes &amp; Contrib'!#REF!</f>
        <v>#REF!</v>
      </c>
      <c r="S17" s="318"/>
      <c r="T17" s="319"/>
      <c r="U17" s="320" t="e">
        <f>'Principales Lignes &amp; Contrib'!#REF!</f>
        <v>#REF!</v>
      </c>
      <c r="V17" s="321"/>
      <c r="W17" s="322"/>
      <c r="X17" s="39"/>
      <c r="Y17" s="87"/>
      <c r="Z17" s="85"/>
      <c r="AA17" s="85"/>
      <c r="AB17" s="85"/>
      <c r="AC17" s="85"/>
      <c r="AD17" s="85"/>
      <c r="AE17" s="85"/>
      <c r="AF17" s="85"/>
      <c r="AG17" s="85"/>
      <c r="AH17" s="85"/>
      <c r="AI17" s="85"/>
      <c r="AJ17" s="85"/>
      <c r="AK17" s="85"/>
      <c r="AL17" s="85"/>
      <c r="AM17" s="85"/>
      <c r="AN17" s="85"/>
      <c r="AO17" s="85"/>
      <c r="AP17" s="85"/>
      <c r="AQ17" s="88"/>
    </row>
    <row r="18" spans="1:43" ht="15" customHeight="1" outlineLevel="1">
      <c r="A18" s="306" t="e">
        <f>'Principales Lignes &amp; Contrib'!#REF!</f>
        <v>#REF!</v>
      </c>
      <c r="B18" s="307"/>
      <c r="C18" s="307"/>
      <c r="D18" s="307"/>
      <c r="E18" s="307"/>
      <c r="F18" s="307"/>
      <c r="G18" s="307"/>
      <c r="H18" s="307"/>
      <c r="I18" s="308"/>
      <c r="J18" s="312" t="e">
        <f>'Principales Lignes &amp; Contrib'!#REF!</f>
        <v>#REF!</v>
      </c>
      <c r="K18" s="313"/>
      <c r="L18" s="312" t="e">
        <f>'Principales Lignes &amp; Contrib'!#REF!</f>
        <v>#REF!</v>
      </c>
      <c r="M18" s="210"/>
      <c r="N18" s="210"/>
      <c r="O18" s="313"/>
      <c r="P18" s="324" t="e">
        <f>'Principales Lignes &amp; Contrib'!#REF!</f>
        <v>#REF!</v>
      </c>
      <c r="Q18" s="325"/>
      <c r="R18" s="317" t="e">
        <f>'Principales Lignes &amp; Contrib'!#REF!</f>
        <v>#REF!</v>
      </c>
      <c r="S18" s="318"/>
      <c r="T18" s="319"/>
      <c r="U18" s="320" t="e">
        <f>'Principales Lignes &amp; Contrib'!#REF!</f>
        <v>#REF!</v>
      </c>
      <c r="V18" s="321"/>
      <c r="W18" s="322"/>
      <c r="X18" s="39"/>
      <c r="Y18" s="87"/>
      <c r="Z18" s="85"/>
      <c r="AA18" s="85"/>
      <c r="AB18" s="85"/>
      <c r="AC18" s="85"/>
      <c r="AD18" s="85"/>
      <c r="AE18" s="85"/>
      <c r="AF18" s="85"/>
      <c r="AG18" s="85"/>
      <c r="AH18" s="85"/>
      <c r="AI18" s="85"/>
      <c r="AJ18" s="85"/>
      <c r="AK18" s="85"/>
      <c r="AL18" s="85"/>
      <c r="AM18" s="85"/>
      <c r="AN18" s="85"/>
      <c r="AO18" s="85"/>
      <c r="AP18" s="85"/>
      <c r="AQ18" s="88"/>
    </row>
    <row r="19" spans="1:43" ht="15" customHeight="1" outlineLevel="1">
      <c r="A19" s="306" t="e">
        <f>'Principales Lignes &amp; Contrib'!#REF!</f>
        <v>#REF!</v>
      </c>
      <c r="B19" s="307"/>
      <c r="C19" s="307"/>
      <c r="D19" s="307"/>
      <c r="E19" s="307"/>
      <c r="F19" s="307"/>
      <c r="G19" s="307"/>
      <c r="H19" s="307"/>
      <c r="I19" s="308"/>
      <c r="J19" s="312" t="e">
        <f>'Principales Lignes &amp; Contrib'!#REF!</f>
        <v>#REF!</v>
      </c>
      <c r="K19" s="313"/>
      <c r="L19" s="312" t="e">
        <f>'Principales Lignes &amp; Contrib'!#REF!</f>
        <v>#REF!</v>
      </c>
      <c r="M19" s="210"/>
      <c r="N19" s="210"/>
      <c r="O19" s="313"/>
      <c r="P19" s="324" t="e">
        <f>'Principales Lignes &amp; Contrib'!#REF!</f>
        <v>#REF!</v>
      </c>
      <c r="Q19" s="325"/>
      <c r="R19" s="317" t="e">
        <f>'Principales Lignes &amp; Contrib'!#REF!</f>
        <v>#REF!</v>
      </c>
      <c r="S19" s="318"/>
      <c r="T19" s="319"/>
      <c r="U19" s="320" t="e">
        <f>'Principales Lignes &amp; Contrib'!#REF!</f>
        <v>#REF!</v>
      </c>
      <c r="V19" s="321"/>
      <c r="W19" s="322"/>
      <c r="X19" s="39"/>
      <c r="Y19" s="87"/>
      <c r="Z19" s="85"/>
      <c r="AA19" s="85"/>
      <c r="AB19" s="85"/>
      <c r="AC19" s="85"/>
      <c r="AD19" s="85"/>
      <c r="AE19" s="85"/>
      <c r="AF19" s="85"/>
      <c r="AG19" s="85"/>
      <c r="AH19" s="85"/>
      <c r="AI19" s="85"/>
      <c r="AJ19" s="85"/>
      <c r="AK19" s="85"/>
      <c r="AL19" s="85"/>
      <c r="AM19" s="85"/>
      <c r="AN19" s="85"/>
      <c r="AO19" s="85"/>
      <c r="AP19" s="85"/>
      <c r="AQ19" s="88"/>
    </row>
    <row r="20" spans="1:43" ht="15" customHeight="1" outlineLevel="1">
      <c r="A20" s="110" t="s">
        <v>5</v>
      </c>
      <c r="B20" s="111"/>
      <c r="C20" s="111"/>
      <c r="D20" s="111"/>
      <c r="E20" s="111"/>
      <c r="F20" s="111"/>
      <c r="G20" s="111"/>
      <c r="H20" s="111"/>
      <c r="I20" s="111"/>
      <c r="J20" s="333" t="e">
        <f>SUM(J10:K19)</f>
        <v>#REF!</v>
      </c>
      <c r="K20" s="335"/>
      <c r="L20" s="330"/>
      <c r="M20" s="331"/>
      <c r="N20" s="331"/>
      <c r="O20" s="332"/>
      <c r="P20" s="333"/>
      <c r="Q20" s="335"/>
      <c r="R20" s="330"/>
      <c r="S20" s="331"/>
      <c r="T20" s="332"/>
      <c r="U20" s="333"/>
      <c r="V20" s="334"/>
      <c r="W20" s="335"/>
      <c r="X20" s="39"/>
      <c r="Y20" s="87"/>
      <c r="Z20" s="85"/>
      <c r="AA20" s="85"/>
      <c r="AB20" s="85"/>
      <c r="AC20" s="85"/>
      <c r="AD20" s="85"/>
      <c r="AE20" s="85"/>
      <c r="AF20" s="85"/>
      <c r="AG20" s="85"/>
      <c r="AH20" s="85"/>
      <c r="AI20" s="85"/>
      <c r="AJ20" s="85"/>
      <c r="AK20" s="85"/>
      <c r="AL20" s="85"/>
      <c r="AM20" s="85"/>
      <c r="AN20" s="85"/>
      <c r="AO20" s="85"/>
      <c r="AP20" s="85"/>
      <c r="AQ20" s="88"/>
    </row>
    <row r="21" spans="1:43" ht="15" customHeight="1" outlineLevel="1">
      <c r="A21" s="104"/>
      <c r="B21" s="109"/>
      <c r="C21" s="109"/>
      <c r="D21" s="109"/>
      <c r="E21" s="109"/>
      <c r="F21" s="109"/>
      <c r="G21" s="109"/>
      <c r="H21" s="104"/>
      <c r="I21" s="109"/>
      <c r="J21" s="104"/>
      <c r="K21" s="109"/>
      <c r="L21" s="109"/>
      <c r="M21" s="109"/>
      <c r="N21" s="104"/>
      <c r="O21" s="104"/>
      <c r="P21" s="109"/>
      <c r="Q21" s="109"/>
      <c r="R21" s="104"/>
      <c r="S21" s="109"/>
      <c r="T21" s="109"/>
      <c r="U21" s="104"/>
      <c r="V21" s="104"/>
      <c r="W21" s="105" t="s">
        <v>263</v>
      </c>
      <c r="X21" s="39"/>
      <c r="Y21" s="87"/>
      <c r="Z21" s="85"/>
      <c r="AA21" s="85"/>
      <c r="AB21" s="85"/>
      <c r="AC21" s="85"/>
      <c r="AD21" s="85"/>
      <c r="AE21" s="85"/>
      <c r="AF21" s="85"/>
      <c r="AG21" s="85"/>
      <c r="AH21" s="85"/>
      <c r="AI21" s="85"/>
      <c r="AJ21" s="85"/>
      <c r="AK21" s="85"/>
      <c r="AL21" s="85"/>
      <c r="AM21" s="85"/>
      <c r="AN21" s="85"/>
      <c r="AO21" s="85"/>
      <c r="AP21" s="85"/>
      <c r="AQ21" s="88"/>
    </row>
    <row r="22" spans="1:43" ht="15" customHeight="1" outlineLevel="1">
      <c r="A22" s="101"/>
      <c r="B22" s="101"/>
      <c r="C22" s="101"/>
      <c r="D22" s="101"/>
      <c r="E22" s="101"/>
      <c r="F22" s="101"/>
      <c r="G22" s="101"/>
      <c r="H22" s="101"/>
      <c r="I22" s="101"/>
      <c r="J22" s="101"/>
      <c r="K22" s="101"/>
      <c r="L22" s="101"/>
      <c r="M22" s="101"/>
      <c r="N22" s="101"/>
      <c r="O22" s="101"/>
      <c r="P22" s="101"/>
      <c r="Q22" s="101"/>
      <c r="R22" s="101"/>
      <c r="S22" s="101"/>
      <c r="T22" s="101"/>
      <c r="U22" s="101"/>
      <c r="V22" s="101"/>
      <c r="W22" s="101"/>
      <c r="X22" s="39"/>
      <c r="Y22" s="87"/>
      <c r="Z22" s="85"/>
      <c r="AA22" s="85"/>
      <c r="AB22" s="85"/>
      <c r="AC22" s="85"/>
      <c r="AD22" s="85"/>
      <c r="AE22" s="85"/>
      <c r="AF22" s="85"/>
      <c r="AG22" s="85"/>
      <c r="AH22" s="85"/>
      <c r="AI22" s="85"/>
      <c r="AJ22" s="85"/>
      <c r="AK22" s="85"/>
      <c r="AL22" s="85"/>
      <c r="AM22" s="85"/>
      <c r="AN22" s="85"/>
      <c r="AO22" s="85"/>
      <c r="AP22" s="85"/>
      <c r="AQ22" s="88"/>
    </row>
    <row r="23" spans="1:43" s="82" customFormat="1" ht="15" customHeight="1" outlineLevel="1">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Y23" s="87"/>
      <c r="Z23" s="85"/>
      <c r="AA23" s="85"/>
      <c r="AB23" s="85"/>
      <c r="AC23" s="85"/>
      <c r="AD23" s="85"/>
      <c r="AE23" s="85"/>
      <c r="AF23" s="85"/>
      <c r="AG23" s="85"/>
      <c r="AH23" s="85"/>
      <c r="AI23" s="85"/>
      <c r="AJ23" s="85"/>
      <c r="AK23" s="85"/>
      <c r="AL23" s="85"/>
      <c r="AM23" s="85"/>
      <c r="AN23" s="85"/>
      <c r="AO23" s="85"/>
      <c r="AP23" s="85"/>
      <c r="AQ23" s="88"/>
    </row>
    <row r="24" spans="1:43" ht="15" customHeight="1" outlineLevel="1">
      <c r="A24" s="233" t="s">
        <v>168</v>
      </c>
      <c r="B24" s="234"/>
      <c r="C24" s="234"/>
      <c r="D24" s="234"/>
      <c r="E24" s="234"/>
      <c r="F24" s="234"/>
      <c r="G24" s="234"/>
      <c r="H24" s="234"/>
      <c r="I24" s="234"/>
      <c r="J24" s="234"/>
      <c r="K24" s="234"/>
      <c r="L24" s="234"/>
      <c r="M24" s="234"/>
      <c r="N24" s="234"/>
      <c r="O24" s="234"/>
      <c r="P24" s="234"/>
      <c r="Q24" s="234"/>
      <c r="R24" s="234"/>
      <c r="S24" s="234"/>
      <c r="T24" s="234"/>
      <c r="U24" s="234"/>
      <c r="V24" s="234"/>
      <c r="W24" s="235"/>
      <c r="X24" s="39"/>
      <c r="Y24" s="87"/>
      <c r="Z24" s="85"/>
      <c r="AA24" s="85"/>
      <c r="AB24" s="85"/>
      <c r="AC24" s="85"/>
      <c r="AD24" s="85"/>
      <c r="AE24" s="85"/>
      <c r="AF24" s="85"/>
      <c r="AG24" s="85"/>
      <c r="AH24" s="85"/>
      <c r="AI24" s="85"/>
      <c r="AJ24" s="85"/>
      <c r="AK24" s="85"/>
      <c r="AL24" s="85"/>
      <c r="AM24" s="85"/>
      <c r="AN24" s="85"/>
      <c r="AO24" s="85"/>
      <c r="AP24" s="85"/>
      <c r="AQ24" s="88"/>
    </row>
    <row r="25" spans="1:43" ht="15" customHeight="1" outlineLevel="1">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39"/>
      <c r="Y25" s="87"/>
      <c r="Z25" s="85"/>
      <c r="AA25" s="85"/>
      <c r="AB25" s="85"/>
      <c r="AC25" s="85"/>
      <c r="AD25" s="85"/>
      <c r="AE25" s="85"/>
      <c r="AF25" s="85"/>
      <c r="AG25" s="85"/>
      <c r="AH25" s="85"/>
      <c r="AI25" s="85"/>
      <c r="AJ25" s="85"/>
      <c r="AK25" s="85"/>
      <c r="AL25" s="85"/>
      <c r="AM25" s="85"/>
      <c r="AN25" s="85"/>
      <c r="AO25" s="85"/>
      <c r="AP25" s="85"/>
      <c r="AQ25" s="88"/>
    </row>
    <row r="26" spans="1:43" ht="15" customHeight="1" outlineLevel="1">
      <c r="A26" s="309" t="s">
        <v>8</v>
      </c>
      <c r="B26" s="310"/>
      <c r="C26" s="310"/>
      <c r="D26" s="310"/>
      <c r="E26" s="311"/>
      <c r="F26" s="309" t="s">
        <v>169</v>
      </c>
      <c r="G26" s="310"/>
      <c r="H26" s="310"/>
      <c r="I26" s="310"/>
      <c r="J26" s="310"/>
      <c r="K26" s="311"/>
      <c r="L26" s="309" t="s">
        <v>170</v>
      </c>
      <c r="M26" s="310"/>
      <c r="N26" s="310"/>
      <c r="O26" s="310"/>
      <c r="P26" s="310"/>
      <c r="Q26" s="311"/>
      <c r="R26" s="355" t="s">
        <v>201</v>
      </c>
      <c r="S26" s="356"/>
      <c r="T26" s="356"/>
      <c r="U26" s="356"/>
      <c r="V26" s="356"/>
      <c r="W26" s="357"/>
      <c r="X26" s="39"/>
      <c r="Y26" s="87"/>
      <c r="Z26" s="85"/>
      <c r="AA26" s="85"/>
      <c r="AB26" s="85"/>
      <c r="AC26" s="85"/>
      <c r="AD26" s="85"/>
      <c r="AE26" s="85"/>
      <c r="AF26" s="85"/>
      <c r="AG26" s="85"/>
      <c r="AH26" s="85"/>
      <c r="AI26" s="85"/>
      <c r="AJ26" s="85"/>
      <c r="AK26" s="85"/>
      <c r="AL26" s="85"/>
      <c r="AM26" s="85"/>
      <c r="AN26" s="85"/>
      <c r="AO26" s="85"/>
      <c r="AP26" s="85"/>
      <c r="AQ26" s="88"/>
    </row>
    <row r="27" spans="1:43" ht="15" customHeight="1" outlineLevel="1">
      <c r="A27" s="260">
        <f>IFERROR(HLOOKUP("Tracking Error",Performances!$34:$35,2,FALSE)/100,"-")</f>
        <v>1.00543E-2</v>
      </c>
      <c r="B27" s="251"/>
      <c r="C27" s="251"/>
      <c r="D27" s="251"/>
      <c r="E27" s="252"/>
      <c r="F27" s="362">
        <f>IFERROR(HLOOKUP("Ratio de Sharpe",Performances!$34:$35,2,FALSE),"-")</f>
        <v>1.2284120000000001</v>
      </c>
      <c r="G27" s="363"/>
      <c r="H27" s="363"/>
      <c r="I27" s="363"/>
      <c r="J27" s="364"/>
      <c r="K27" s="365"/>
      <c r="L27" s="366">
        <f>IFERROR(HLOOKUP("Fréquence de gain",Performances!$34:$35,2,FALSE)/100,"-")</f>
        <v>0.78431372999999993</v>
      </c>
      <c r="M27" s="367"/>
      <c r="N27" s="367"/>
      <c r="O27" s="367"/>
      <c r="P27" s="364"/>
      <c r="Q27" s="365"/>
      <c r="R27" s="260">
        <f>IFERROR(HLOOKUP("Perte Max.",Performances!$34:$35,2,FALSE)/100,"-")</f>
        <v>-3.0724499999999998E-2</v>
      </c>
      <c r="S27" s="251"/>
      <c r="T27" s="251"/>
      <c r="U27" s="251"/>
      <c r="V27" s="251"/>
      <c r="W27" s="252"/>
      <c r="X27" s="39"/>
      <c r="Y27" s="87"/>
      <c r="Z27" s="85"/>
      <c r="AA27" s="85"/>
      <c r="AB27" s="85"/>
      <c r="AC27" s="85"/>
      <c r="AD27" s="85"/>
      <c r="AE27" s="85"/>
      <c r="AF27" s="85"/>
      <c r="AG27" s="85"/>
      <c r="AH27" s="85"/>
      <c r="AI27" s="85"/>
      <c r="AJ27" s="85"/>
      <c r="AK27" s="85"/>
      <c r="AL27" s="85"/>
      <c r="AM27" s="85"/>
      <c r="AN27" s="85"/>
      <c r="AO27" s="85"/>
      <c r="AP27" s="85"/>
      <c r="AQ27" s="88"/>
    </row>
    <row r="28" spans="1:43" ht="15" customHeight="1" outlineLevel="1">
      <c r="A28" s="106"/>
      <c r="B28" s="153"/>
      <c r="C28" s="153"/>
      <c r="D28" s="106"/>
      <c r="E28" s="106"/>
      <c r="F28" s="106"/>
      <c r="G28" s="153"/>
      <c r="H28" s="106"/>
      <c r="I28" s="106"/>
      <c r="J28" s="106"/>
      <c r="K28" s="153"/>
      <c r="L28" s="153"/>
      <c r="M28" s="106"/>
      <c r="N28" s="106"/>
      <c r="O28" s="106"/>
      <c r="P28" s="153"/>
      <c r="Q28" s="106"/>
      <c r="R28" s="106"/>
      <c r="S28" s="106"/>
      <c r="T28" s="153"/>
      <c r="U28" s="153"/>
      <c r="V28" s="106"/>
      <c r="W28" s="150" t="s">
        <v>161</v>
      </c>
      <c r="X28" s="39"/>
      <c r="Y28" s="87"/>
      <c r="Z28" s="85"/>
      <c r="AA28" s="85"/>
      <c r="AB28" s="85"/>
      <c r="AC28" s="85"/>
      <c r="AD28" s="85"/>
      <c r="AE28" s="85"/>
      <c r="AF28" s="85"/>
      <c r="AG28" s="85"/>
      <c r="AH28" s="85"/>
      <c r="AI28" s="85"/>
      <c r="AJ28" s="85"/>
      <c r="AK28" s="85"/>
      <c r="AL28" s="85"/>
      <c r="AM28" s="85"/>
      <c r="AN28" s="85"/>
      <c r="AO28" s="85"/>
      <c r="AP28" s="85"/>
      <c r="AQ28" s="88"/>
    </row>
    <row r="29" spans="1:43" ht="15" customHeight="1" outlineLevel="1">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40"/>
      <c r="Y29" s="87"/>
      <c r="Z29" s="85"/>
      <c r="AA29" s="85"/>
      <c r="AB29" s="85"/>
      <c r="AC29" s="85"/>
      <c r="AD29" s="85"/>
      <c r="AE29" s="85"/>
      <c r="AF29" s="85"/>
      <c r="AG29" s="85"/>
      <c r="AH29" s="85"/>
      <c r="AI29" s="85"/>
      <c r="AJ29" s="85"/>
      <c r="AK29" s="85"/>
      <c r="AL29" s="85"/>
      <c r="AM29" s="85"/>
      <c r="AN29" s="85"/>
      <c r="AO29" s="85"/>
      <c r="AP29" s="85"/>
      <c r="AQ29" s="88"/>
    </row>
    <row r="30" spans="1:43" s="92" customFormat="1" ht="15" customHeight="1" outlineLevel="1">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84"/>
      <c r="Y30" s="87"/>
      <c r="Z30" s="85"/>
      <c r="AA30" s="85"/>
      <c r="AB30" s="85"/>
      <c r="AC30" s="85"/>
      <c r="AD30" s="85"/>
      <c r="AE30" s="85"/>
      <c r="AF30" s="85"/>
      <c r="AG30" s="85"/>
      <c r="AH30" s="85"/>
      <c r="AI30" s="85"/>
      <c r="AJ30" s="85"/>
      <c r="AK30" s="85"/>
      <c r="AL30" s="85"/>
      <c r="AM30" s="85"/>
      <c r="AN30" s="85"/>
      <c r="AO30" s="85"/>
      <c r="AP30" s="85"/>
      <c r="AQ30" s="88"/>
    </row>
    <row r="31" spans="1:43" ht="15" customHeight="1" outlineLevel="1">
      <c r="A31" s="266" t="s">
        <v>200</v>
      </c>
      <c r="B31" s="267"/>
      <c r="C31" s="267"/>
      <c r="D31" s="267"/>
      <c r="E31" s="267"/>
      <c r="F31" s="267"/>
      <c r="G31" s="267"/>
      <c r="H31" s="267"/>
      <c r="I31" s="267"/>
      <c r="J31" s="267"/>
      <c r="K31" s="267"/>
      <c r="L31" s="267"/>
      <c r="M31" s="267"/>
      <c r="N31" s="267"/>
      <c r="O31" s="267"/>
      <c r="P31" s="267"/>
      <c r="Q31" s="267"/>
      <c r="R31" s="267"/>
      <c r="S31" s="267"/>
      <c r="T31" s="267"/>
      <c r="U31" s="267"/>
      <c r="V31" s="267"/>
      <c r="W31" s="268"/>
      <c r="X31" s="42"/>
      <c r="Y31" s="87"/>
      <c r="Z31" s="85"/>
      <c r="AA31" s="85"/>
      <c r="AB31" s="85"/>
      <c r="AC31" s="85"/>
      <c r="AD31" s="85"/>
      <c r="AE31" s="85"/>
      <c r="AF31" s="85"/>
      <c r="AG31" s="85"/>
      <c r="AH31" s="85"/>
      <c r="AI31" s="85"/>
      <c r="AJ31" s="85"/>
      <c r="AK31" s="85"/>
      <c r="AL31" s="85"/>
      <c r="AM31" s="85"/>
      <c r="AN31" s="85"/>
      <c r="AO31" s="85"/>
      <c r="AP31" s="85"/>
      <c r="AQ31" s="88"/>
    </row>
    <row r="32" spans="1:43" ht="15" customHeight="1" outlineLevel="1">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42"/>
      <c r="Y32" s="87"/>
      <c r="Z32" s="85"/>
      <c r="AA32" s="85"/>
      <c r="AB32" s="85"/>
      <c r="AC32" s="85"/>
      <c r="AD32" s="85"/>
      <c r="AE32" s="85"/>
      <c r="AF32" s="85"/>
      <c r="AG32" s="85"/>
      <c r="AH32" s="85"/>
      <c r="AI32" s="85"/>
      <c r="AJ32" s="85"/>
      <c r="AK32" s="85"/>
      <c r="AL32" s="85"/>
      <c r="AM32" s="85"/>
      <c r="AN32" s="85"/>
      <c r="AO32" s="85"/>
      <c r="AP32" s="85"/>
      <c r="AQ32" s="88"/>
    </row>
    <row r="33" spans="1:43" ht="15" customHeight="1" outlineLevel="1">
      <c r="A33" s="336" t="s">
        <v>171</v>
      </c>
      <c r="B33" s="337"/>
      <c r="C33" s="338"/>
      <c r="D33" s="336" t="s">
        <v>172</v>
      </c>
      <c r="E33" s="337"/>
      <c r="F33" s="338"/>
      <c r="G33" s="336" t="s">
        <v>173</v>
      </c>
      <c r="H33" s="337"/>
      <c r="I33" s="338"/>
      <c r="J33" s="336" t="s">
        <v>44</v>
      </c>
      <c r="K33" s="337"/>
      <c r="L33" s="338"/>
      <c r="M33" s="336" t="s">
        <v>203</v>
      </c>
      <c r="N33" s="337"/>
      <c r="O33" s="338"/>
      <c r="P33" s="336" t="s">
        <v>175</v>
      </c>
      <c r="Q33" s="337"/>
      <c r="R33" s="337"/>
      <c r="S33" s="338"/>
      <c r="T33" s="336" t="s">
        <v>174</v>
      </c>
      <c r="U33" s="337"/>
      <c r="V33" s="337"/>
      <c r="W33" s="338"/>
      <c r="X33" s="42"/>
      <c r="Y33" s="87"/>
      <c r="Z33" s="85"/>
      <c r="AA33" s="85"/>
      <c r="AB33" s="85"/>
      <c r="AC33" s="85"/>
      <c r="AD33" s="85"/>
      <c r="AE33" s="85"/>
      <c r="AF33" s="85"/>
      <c r="AG33" s="85"/>
      <c r="AH33" s="85"/>
      <c r="AI33" s="85"/>
      <c r="AJ33" s="85"/>
      <c r="AK33" s="85"/>
      <c r="AL33" s="85"/>
      <c r="AM33" s="85"/>
      <c r="AN33" s="85"/>
      <c r="AO33" s="85"/>
      <c r="AP33" s="85"/>
      <c r="AQ33" s="88"/>
    </row>
    <row r="34" spans="1:43" ht="15" customHeight="1" outlineLevel="1">
      <c r="A34" s="339" t="e">
        <f>CONCATENATE(ROUND(VLOOKUP("Mat moyenne",Données!$A$53:$B$60,2,FALSE),2)," year(s)")</f>
        <v>#N/A</v>
      </c>
      <c r="B34" s="340"/>
      <c r="C34" s="341"/>
      <c r="D34" s="339" t="e">
        <f>VLOOKUP("Spread moy",Données!$A$53:$B$60,2,FALSE)</f>
        <v>#N/A</v>
      </c>
      <c r="E34" s="340"/>
      <c r="F34" s="341"/>
      <c r="G34" s="339" t="e">
        <f>Données!#REF!</f>
        <v>#REF!</v>
      </c>
      <c r="H34" s="340"/>
      <c r="I34" s="341"/>
      <c r="J34" s="342" t="e">
        <f>VLOOKUP("ytom",Données!$A$53:$B$60,2,FALSE)/100</f>
        <v>#N/A</v>
      </c>
      <c r="K34" s="343"/>
      <c r="L34" s="344"/>
      <c r="M34" s="342" t="e">
        <f>VLOOKUP("ytow",Données!$A$53:$B$60,2,FALSE)/100</f>
        <v>#N/A</v>
      </c>
      <c r="N34" s="343"/>
      <c r="O34" s="344"/>
      <c r="P34" s="339" t="e">
        <f>VLOOKUP("Sensibilité taux",Données!$A$53:$B$60,2,FALSE)</f>
        <v>#N/A</v>
      </c>
      <c r="Q34" s="368"/>
      <c r="R34" s="340"/>
      <c r="S34" s="341"/>
      <c r="T34" s="339" t="e">
        <f>VLOOKUP("Sensibilité crédit",Données!$A$53:$B$60,2,FALSE)</f>
        <v>#N/A</v>
      </c>
      <c r="U34" s="368"/>
      <c r="V34" s="368"/>
      <c r="W34" s="369"/>
      <c r="X34" s="42"/>
      <c r="Y34" s="87"/>
      <c r="Z34" s="85"/>
      <c r="AA34" s="85"/>
      <c r="AB34" s="85"/>
      <c r="AC34" s="85"/>
      <c r="AD34" s="85"/>
      <c r="AE34" s="85"/>
      <c r="AF34" s="85"/>
      <c r="AG34" s="85"/>
      <c r="AH34" s="85"/>
      <c r="AI34" s="85"/>
      <c r="AJ34" s="85"/>
      <c r="AK34" s="85"/>
      <c r="AL34" s="85"/>
      <c r="AM34" s="85"/>
      <c r="AN34" s="85"/>
      <c r="AO34" s="85"/>
      <c r="AP34" s="85"/>
      <c r="AQ34" s="88"/>
    </row>
    <row r="35" spans="1:43" ht="15" customHeight="1" outlineLevel="1">
      <c r="A35" s="106"/>
      <c r="B35" s="106"/>
      <c r="C35" s="106"/>
      <c r="D35" s="106"/>
      <c r="E35" s="106"/>
      <c r="F35" s="106"/>
      <c r="G35" s="106"/>
      <c r="H35" s="106"/>
      <c r="I35" s="106"/>
      <c r="J35" s="106"/>
      <c r="K35" s="106"/>
      <c r="L35" s="106"/>
      <c r="M35" s="106"/>
      <c r="N35" s="106"/>
      <c r="O35" s="106"/>
      <c r="P35" s="106"/>
      <c r="Q35" s="106"/>
      <c r="R35" s="106"/>
      <c r="S35" s="106"/>
      <c r="T35" s="106"/>
      <c r="U35" s="106"/>
      <c r="V35" s="106"/>
      <c r="W35" s="150" t="s">
        <v>263</v>
      </c>
      <c r="X35" s="42"/>
      <c r="Y35" s="87"/>
      <c r="Z35" s="85"/>
      <c r="AA35" s="85"/>
      <c r="AB35" s="85"/>
      <c r="AC35" s="85"/>
      <c r="AD35" s="85"/>
      <c r="AE35" s="85"/>
      <c r="AF35" s="85"/>
      <c r="AG35" s="85"/>
      <c r="AH35" s="85"/>
      <c r="AI35" s="85"/>
      <c r="AJ35" s="85"/>
      <c r="AK35" s="85"/>
      <c r="AL35" s="85"/>
      <c r="AM35" s="85"/>
      <c r="AN35" s="85"/>
      <c r="AO35" s="85"/>
      <c r="AP35" s="85"/>
      <c r="AQ35" s="88"/>
    </row>
    <row r="36" spans="1:43" ht="15" customHeight="1" outlineLevel="1">
      <c r="A36" s="187" t="s">
        <v>247</v>
      </c>
      <c r="X36" s="40"/>
      <c r="Y36" s="87"/>
      <c r="Z36" s="85"/>
      <c r="AA36" s="85"/>
      <c r="AB36" s="85"/>
      <c r="AC36" s="85"/>
      <c r="AD36" s="85"/>
      <c r="AE36" s="85"/>
      <c r="AF36" s="85"/>
      <c r="AG36" s="85"/>
      <c r="AH36" s="85"/>
      <c r="AI36" s="85"/>
      <c r="AJ36" s="85"/>
      <c r="AK36" s="85"/>
      <c r="AL36" s="85"/>
      <c r="AM36" s="85"/>
      <c r="AN36" s="85"/>
      <c r="AO36" s="85"/>
      <c r="AP36" s="85"/>
      <c r="AQ36" s="88"/>
    </row>
    <row r="37" spans="1:43" ht="15" customHeight="1" outlineLevel="1">
      <c r="A37" s="187" t="s">
        <v>244</v>
      </c>
      <c r="X37" s="40"/>
      <c r="Y37" s="87"/>
      <c r="Z37" s="85"/>
      <c r="AA37" s="85"/>
      <c r="AB37" s="85"/>
      <c r="AC37" s="85"/>
      <c r="AD37" s="85"/>
      <c r="AE37" s="85"/>
      <c r="AF37" s="85"/>
      <c r="AG37" s="85"/>
      <c r="AH37" s="85"/>
      <c r="AI37" s="85"/>
      <c r="AJ37" s="85"/>
      <c r="AK37" s="85"/>
      <c r="AL37" s="85"/>
      <c r="AM37" s="85"/>
      <c r="AN37" s="85"/>
      <c r="AO37" s="85"/>
      <c r="AP37" s="85"/>
      <c r="AQ37" s="88"/>
    </row>
    <row r="38" spans="1:43" ht="15" customHeight="1" outlineLevel="1">
      <c r="X38" s="39"/>
      <c r="Y38" s="87"/>
      <c r="Z38" s="85"/>
      <c r="AA38" s="85"/>
      <c r="AB38" s="85"/>
      <c r="AC38" s="85"/>
      <c r="AD38" s="85"/>
      <c r="AE38" s="85"/>
      <c r="AF38" s="85"/>
      <c r="AG38" s="85"/>
      <c r="AH38" s="85"/>
      <c r="AI38" s="85"/>
      <c r="AJ38" s="85"/>
      <c r="AK38" s="85"/>
      <c r="AL38" s="85"/>
      <c r="AM38" s="85"/>
      <c r="AN38" s="85"/>
      <c r="AO38" s="85"/>
      <c r="AP38" s="85"/>
      <c r="AQ38" s="88"/>
    </row>
    <row r="39" spans="1:43" ht="15" customHeight="1" outlineLevel="1">
      <c r="A39" s="233" t="s">
        <v>176</v>
      </c>
      <c r="B39" s="234"/>
      <c r="C39" s="234"/>
      <c r="D39" s="234"/>
      <c r="E39" s="234"/>
      <c r="F39" s="234"/>
      <c r="G39" s="234"/>
      <c r="H39" s="234"/>
      <c r="I39" s="234"/>
      <c r="J39" s="234"/>
      <c r="K39" s="234"/>
      <c r="L39" s="234"/>
      <c r="M39" s="234"/>
      <c r="N39" s="234"/>
      <c r="O39" s="234"/>
      <c r="P39" s="234"/>
      <c r="Q39" s="234"/>
      <c r="R39" s="234"/>
      <c r="S39" s="234"/>
      <c r="T39" s="234"/>
      <c r="U39" s="234"/>
      <c r="V39" s="234"/>
      <c r="W39" s="235"/>
      <c r="X39" s="39"/>
      <c r="Y39" s="87"/>
      <c r="Z39" s="85"/>
      <c r="AA39" s="85"/>
      <c r="AB39" s="85"/>
      <c r="AC39" s="85"/>
      <c r="AD39" s="85"/>
      <c r="AE39" s="85"/>
      <c r="AF39" s="85"/>
      <c r="AG39" s="85"/>
      <c r="AH39" s="85"/>
      <c r="AI39" s="85"/>
      <c r="AJ39" s="85"/>
      <c r="AK39" s="85"/>
      <c r="AL39" s="85"/>
      <c r="AM39" s="85"/>
      <c r="AN39" s="85"/>
      <c r="AO39" s="85"/>
      <c r="AP39" s="85"/>
      <c r="AQ39" s="88"/>
    </row>
    <row r="40" spans="1:43" ht="15" customHeight="1" outlineLevel="1">
      <c r="X40" s="39"/>
      <c r="Y40" s="87"/>
      <c r="Z40" s="85"/>
      <c r="AA40" s="85"/>
      <c r="AB40" s="85"/>
      <c r="AC40" s="85"/>
      <c r="AD40" s="85"/>
      <c r="AE40" s="85"/>
      <c r="AF40" s="85"/>
      <c r="AG40" s="85"/>
      <c r="AH40" s="85"/>
      <c r="AI40" s="85"/>
      <c r="AJ40" s="85"/>
      <c r="AK40" s="85"/>
      <c r="AL40" s="85"/>
      <c r="AM40" s="85"/>
      <c r="AN40" s="85"/>
      <c r="AO40" s="85"/>
      <c r="AP40" s="85"/>
      <c r="AQ40" s="88"/>
    </row>
    <row r="41" spans="1:43" ht="15" customHeight="1" outlineLevel="1">
      <c r="A41" s="309" t="s">
        <v>177</v>
      </c>
      <c r="B41" s="310"/>
      <c r="C41" s="310"/>
      <c r="D41" s="310"/>
      <c r="E41" s="310"/>
      <c r="F41" s="310"/>
      <c r="G41" s="310"/>
      <c r="H41" s="310"/>
      <c r="I41" s="310"/>
      <c r="J41" s="310"/>
      <c r="K41" s="311"/>
      <c r="L41" s="151"/>
      <c r="M41" s="309" t="s">
        <v>178</v>
      </c>
      <c r="N41" s="310"/>
      <c r="O41" s="310"/>
      <c r="P41" s="310"/>
      <c r="Q41" s="310"/>
      <c r="R41" s="310"/>
      <c r="S41" s="310"/>
      <c r="T41" s="310"/>
      <c r="U41" s="310"/>
      <c r="V41" s="310"/>
      <c r="W41" s="311"/>
      <c r="X41" s="39"/>
      <c r="Y41" s="87"/>
      <c r="Z41" s="85"/>
      <c r="AA41" s="85"/>
      <c r="AB41" s="85"/>
      <c r="AC41" s="85"/>
      <c r="AD41" s="85"/>
      <c r="AE41" s="85"/>
      <c r="AF41" s="85"/>
      <c r="AG41" s="85"/>
      <c r="AH41" s="85"/>
      <c r="AI41" s="85"/>
      <c r="AJ41" s="85"/>
      <c r="AK41" s="85"/>
      <c r="AL41" s="85"/>
      <c r="AM41" s="85"/>
      <c r="AN41" s="85"/>
      <c r="AO41" s="85"/>
      <c r="AP41" s="85"/>
      <c r="AQ41" s="43"/>
    </row>
    <row r="42" spans="1:43" s="82" customFormat="1" ht="15" customHeight="1" outlineLevel="1">
      <c r="A42" s="359" t="s">
        <v>164</v>
      </c>
      <c r="B42" s="360"/>
      <c r="C42" s="360"/>
      <c r="D42" s="360"/>
      <c r="E42" s="360"/>
      <c r="F42" s="360"/>
      <c r="G42" s="158"/>
      <c r="H42" s="358" t="s">
        <v>179</v>
      </c>
      <c r="I42" s="358"/>
      <c r="J42" s="358" t="s">
        <v>180</v>
      </c>
      <c r="K42" s="361"/>
      <c r="L42" s="159"/>
      <c r="M42" s="359" t="s">
        <v>164</v>
      </c>
      <c r="N42" s="360"/>
      <c r="O42" s="360"/>
      <c r="P42" s="360"/>
      <c r="Q42" s="360"/>
      <c r="R42" s="360"/>
      <c r="S42" s="158"/>
      <c r="T42" s="358" t="s">
        <v>179</v>
      </c>
      <c r="U42" s="358"/>
      <c r="V42" s="358" t="s">
        <v>180</v>
      </c>
      <c r="W42" s="361"/>
      <c r="Y42" s="87"/>
      <c r="Z42" s="85"/>
      <c r="AA42" s="85"/>
      <c r="AB42" s="85"/>
      <c r="AC42" s="85"/>
      <c r="AD42" s="85"/>
      <c r="AE42" s="85"/>
      <c r="AF42" s="85"/>
      <c r="AG42" s="85"/>
      <c r="AH42" s="85"/>
      <c r="AI42" s="85"/>
      <c r="AJ42" s="85"/>
      <c r="AK42" s="85"/>
      <c r="AL42" s="85"/>
      <c r="AM42" s="85"/>
      <c r="AN42" s="85"/>
      <c r="AO42" s="85"/>
      <c r="AP42" s="85"/>
      <c r="AQ42" s="43"/>
    </row>
    <row r="43" spans="1:43" ht="15" customHeight="1" outlineLevel="1">
      <c r="A43" s="303" t="str">
        <f>IF(Mouvements!C9="-","",Mouvements!C9)</f>
        <v/>
      </c>
      <c r="B43" s="304"/>
      <c r="C43" s="304"/>
      <c r="D43" s="304"/>
      <c r="E43" s="304"/>
      <c r="F43" s="304"/>
      <c r="G43" s="304"/>
      <c r="H43" s="305" t="str">
        <f>IF(A43="","",Mouvements!I9)</f>
        <v/>
      </c>
      <c r="I43" s="305"/>
      <c r="J43" s="305" t="str">
        <f>IF(A43="","",Mouvements!H9)</f>
        <v/>
      </c>
      <c r="K43" s="323"/>
      <c r="L43" s="77"/>
      <c r="M43" s="303" t="str">
        <f>IF(Mouvements!S9="-","",Mouvements!S9)</f>
        <v/>
      </c>
      <c r="N43" s="304"/>
      <c r="O43" s="304"/>
      <c r="P43" s="304"/>
      <c r="Q43" s="304"/>
      <c r="R43" s="304"/>
      <c r="S43" s="304"/>
      <c r="T43" s="305" t="str">
        <f>IF(M43="","",Mouvements!Y9)</f>
        <v/>
      </c>
      <c r="U43" s="305"/>
      <c r="V43" s="305" t="str">
        <f>IF(M43="","",Mouvements!X9)</f>
        <v/>
      </c>
      <c r="W43" s="323"/>
      <c r="X43" s="39"/>
      <c r="Y43" s="87"/>
      <c r="Z43" s="85"/>
      <c r="AA43" s="85"/>
      <c r="AB43" s="85"/>
      <c r="AC43" s="85"/>
      <c r="AD43" s="85"/>
      <c r="AE43" s="85"/>
      <c r="AF43" s="85"/>
      <c r="AG43" s="85"/>
      <c r="AH43" s="85"/>
      <c r="AI43" s="85"/>
      <c r="AJ43" s="85"/>
      <c r="AK43" s="85"/>
      <c r="AL43" s="85"/>
      <c r="AM43" s="85"/>
      <c r="AN43" s="85"/>
      <c r="AO43" s="85"/>
      <c r="AP43" s="85"/>
      <c r="AQ43" s="43"/>
    </row>
    <row r="44" spans="1:43" ht="15" customHeight="1" outlineLevel="1">
      <c r="A44" s="303" t="str">
        <f>IF(Mouvements!C10="-","",Mouvements!C10)</f>
        <v/>
      </c>
      <c r="B44" s="304"/>
      <c r="C44" s="304"/>
      <c r="D44" s="304"/>
      <c r="E44" s="304"/>
      <c r="F44" s="304"/>
      <c r="G44" s="304"/>
      <c r="H44" s="305" t="str">
        <f>IF(A44="","",Mouvements!I10)</f>
        <v/>
      </c>
      <c r="I44" s="305"/>
      <c r="J44" s="305" t="str">
        <f>IF(A44="","",Mouvements!H10)</f>
        <v/>
      </c>
      <c r="K44" s="323"/>
      <c r="L44" s="77"/>
      <c r="M44" s="303" t="str">
        <f>IF(Mouvements!S10="-","",Mouvements!S10)</f>
        <v/>
      </c>
      <c r="N44" s="304"/>
      <c r="O44" s="304"/>
      <c r="P44" s="304"/>
      <c r="Q44" s="304"/>
      <c r="R44" s="304"/>
      <c r="S44" s="304"/>
      <c r="T44" s="305" t="str">
        <f>IF(M44="","",Mouvements!Y10)</f>
        <v/>
      </c>
      <c r="U44" s="305"/>
      <c r="V44" s="305" t="str">
        <f>IF(M44="","",Mouvements!X10)</f>
        <v/>
      </c>
      <c r="W44" s="323"/>
      <c r="X44" s="39"/>
      <c r="Y44" s="87"/>
      <c r="Z44" s="85"/>
      <c r="AA44" s="85"/>
      <c r="AB44" s="85"/>
      <c r="AC44" s="85"/>
      <c r="AD44" s="85"/>
      <c r="AE44" s="85"/>
      <c r="AF44" s="85"/>
      <c r="AG44" s="85"/>
      <c r="AH44" s="85"/>
      <c r="AI44" s="85"/>
      <c r="AJ44" s="85"/>
      <c r="AK44" s="85"/>
      <c r="AL44" s="85"/>
      <c r="AM44" s="85"/>
      <c r="AN44" s="85"/>
      <c r="AO44" s="85"/>
      <c r="AP44" s="85"/>
      <c r="AQ44" s="43"/>
    </row>
    <row r="45" spans="1:43" ht="15" customHeight="1" outlineLevel="1">
      <c r="A45" s="303" t="str">
        <f>IF(Mouvements!C11="-","",Mouvements!C11)</f>
        <v/>
      </c>
      <c r="B45" s="304"/>
      <c r="C45" s="304"/>
      <c r="D45" s="304"/>
      <c r="E45" s="304"/>
      <c r="F45" s="304"/>
      <c r="G45" s="304"/>
      <c r="H45" s="305" t="str">
        <f>IF(A45="","",Mouvements!I11)</f>
        <v/>
      </c>
      <c r="I45" s="305"/>
      <c r="J45" s="305" t="str">
        <f>IF(A45="","",Mouvements!H11)</f>
        <v/>
      </c>
      <c r="K45" s="323"/>
      <c r="L45" s="77"/>
      <c r="M45" s="303" t="str">
        <f>IF(Mouvements!S11="-","",Mouvements!S11)</f>
        <v/>
      </c>
      <c r="N45" s="304"/>
      <c r="O45" s="304"/>
      <c r="P45" s="304"/>
      <c r="Q45" s="304"/>
      <c r="R45" s="304"/>
      <c r="S45" s="304"/>
      <c r="T45" s="305" t="str">
        <f>IF(M45="","",Mouvements!Y11)</f>
        <v/>
      </c>
      <c r="U45" s="305"/>
      <c r="V45" s="305" t="str">
        <f>IF(M45="","",Mouvements!X11)</f>
        <v/>
      </c>
      <c r="W45" s="323"/>
      <c r="X45" s="39"/>
      <c r="Y45" s="87"/>
      <c r="Z45" s="85"/>
      <c r="AA45" s="85"/>
      <c r="AB45" s="85"/>
      <c r="AC45" s="85"/>
      <c r="AD45" s="85"/>
      <c r="AE45" s="85"/>
      <c r="AF45" s="85"/>
      <c r="AG45" s="85"/>
      <c r="AH45" s="85"/>
      <c r="AI45" s="85"/>
      <c r="AJ45" s="85"/>
      <c r="AK45" s="85"/>
      <c r="AL45" s="85"/>
      <c r="AM45" s="85"/>
      <c r="AN45" s="85"/>
      <c r="AO45" s="85"/>
      <c r="AP45" s="85"/>
      <c r="AQ45" s="43"/>
    </row>
    <row r="46" spans="1:43" ht="15" customHeight="1" outlineLevel="1">
      <c r="A46" s="303" t="str">
        <f>IF(Mouvements!C12="-","",Mouvements!C12)</f>
        <v/>
      </c>
      <c r="B46" s="304"/>
      <c r="C46" s="304"/>
      <c r="D46" s="304"/>
      <c r="E46" s="304"/>
      <c r="F46" s="304"/>
      <c r="G46" s="304"/>
      <c r="H46" s="305" t="str">
        <f>IF(A46="","",Mouvements!I12)</f>
        <v/>
      </c>
      <c r="I46" s="305"/>
      <c r="J46" s="305" t="str">
        <f>IF(A46="","",Mouvements!H12)</f>
        <v/>
      </c>
      <c r="K46" s="323"/>
      <c r="L46" s="77"/>
      <c r="M46" s="303" t="str">
        <f>IF(Mouvements!S12="-","",Mouvements!S12)</f>
        <v/>
      </c>
      <c r="N46" s="304"/>
      <c r="O46" s="304"/>
      <c r="P46" s="304"/>
      <c r="Q46" s="304"/>
      <c r="R46" s="304"/>
      <c r="S46" s="304"/>
      <c r="T46" s="305" t="str">
        <f>IF(M46="","",Mouvements!Y12)</f>
        <v/>
      </c>
      <c r="U46" s="305"/>
      <c r="V46" s="305" t="str">
        <f>IF(M46="","",Mouvements!X12)</f>
        <v/>
      </c>
      <c r="W46" s="323"/>
      <c r="X46" s="42"/>
      <c r="Y46" s="87"/>
      <c r="Z46" s="85"/>
      <c r="AA46" s="85"/>
      <c r="AB46" s="85"/>
      <c r="AC46" s="85"/>
      <c r="AD46" s="85"/>
      <c r="AE46" s="85"/>
      <c r="AF46" s="85"/>
      <c r="AG46" s="85"/>
      <c r="AH46" s="85"/>
      <c r="AI46" s="85"/>
      <c r="AJ46" s="85"/>
      <c r="AK46" s="85"/>
      <c r="AL46" s="85"/>
      <c r="AM46" s="85"/>
      <c r="AN46" s="85"/>
      <c r="AO46" s="85"/>
      <c r="AP46" s="85"/>
      <c r="AQ46" s="88"/>
    </row>
    <row r="47" spans="1:43" ht="15" customHeight="1" outlineLevel="1">
      <c r="A47" s="328" t="str">
        <f>IF(Mouvements!C13="-","",Mouvements!C13)</f>
        <v/>
      </c>
      <c r="B47" s="329"/>
      <c r="C47" s="329"/>
      <c r="D47" s="329"/>
      <c r="E47" s="329"/>
      <c r="F47" s="329"/>
      <c r="G47" s="329"/>
      <c r="H47" s="326" t="str">
        <f>IF(A47="","",Mouvements!I13)</f>
        <v/>
      </c>
      <c r="I47" s="326"/>
      <c r="J47" s="326" t="str">
        <f>IF(A47="","",Mouvements!H13)</f>
        <v/>
      </c>
      <c r="K47" s="327"/>
      <c r="L47" s="77"/>
      <c r="M47" s="328" t="str">
        <f>IF(Mouvements!S13="-","",Mouvements!S13)</f>
        <v/>
      </c>
      <c r="N47" s="329"/>
      <c r="O47" s="329"/>
      <c r="P47" s="329"/>
      <c r="Q47" s="329"/>
      <c r="R47" s="329"/>
      <c r="S47" s="329"/>
      <c r="T47" s="326" t="str">
        <f>IF(M47="","",Mouvements!Y13)</f>
        <v/>
      </c>
      <c r="U47" s="326"/>
      <c r="V47" s="326" t="str">
        <f>IF(M47="","",Mouvements!X13)</f>
        <v/>
      </c>
      <c r="W47" s="327"/>
      <c r="X47" s="42"/>
      <c r="Y47" s="91"/>
      <c r="Z47" s="89"/>
      <c r="AA47" s="89"/>
      <c r="AB47" s="89"/>
      <c r="AC47" s="89"/>
      <c r="AD47" s="89"/>
      <c r="AE47" s="89"/>
      <c r="AF47" s="89"/>
      <c r="AG47" s="89"/>
      <c r="AH47" s="89"/>
      <c r="AI47" s="89"/>
      <c r="AJ47" s="89"/>
      <c r="AK47" s="89"/>
      <c r="AL47" s="89"/>
      <c r="AM47" s="89"/>
      <c r="AN47" s="89"/>
      <c r="AO47" s="89"/>
      <c r="AP47" s="89"/>
      <c r="AQ47" s="90"/>
    </row>
    <row r="48" spans="1:43" ht="15" customHeight="1" outlineLevel="1">
      <c r="K48" s="150" t="s">
        <v>263</v>
      </c>
      <c r="L48" s="39"/>
      <c r="M48" s="39"/>
      <c r="N48" s="39"/>
      <c r="O48" s="39"/>
      <c r="P48" s="39"/>
      <c r="Q48" s="39"/>
      <c r="R48" s="39"/>
      <c r="S48" s="39"/>
      <c r="T48" s="39"/>
      <c r="U48" s="39"/>
      <c r="V48" s="39"/>
      <c r="W48" s="150" t="s">
        <v>263</v>
      </c>
      <c r="X48" s="39"/>
      <c r="Y48" s="39"/>
      <c r="Z48" s="39"/>
      <c r="AA48" s="39"/>
      <c r="AB48" s="39"/>
      <c r="AC48" s="39"/>
      <c r="AD48" s="39"/>
      <c r="AE48" s="39"/>
      <c r="AF48" s="39"/>
      <c r="AG48" s="39"/>
      <c r="AH48" s="39"/>
      <c r="AI48" s="39"/>
      <c r="AJ48" s="39"/>
      <c r="AK48" s="39"/>
      <c r="AL48" s="39"/>
      <c r="AM48" s="39"/>
      <c r="AN48" s="39"/>
      <c r="AO48" s="39"/>
      <c r="AP48" s="39"/>
      <c r="AQ48" s="41" t="str">
        <f>CONCATENATE(HLOOKUP("Gérant",Caracteristik!$1:$2,2,FALSE)," - Fund manager(s)")</f>
        <v>Maud BERT - Marc BLANC - Fund manager(s)</v>
      </c>
    </row>
    <row r="49" spans="1:43" ht="15" customHeight="1" outlineLevel="1">
      <c r="A49" s="50"/>
      <c r="B49" s="39"/>
      <c r="C49" s="39"/>
      <c r="D49" s="39"/>
      <c r="E49" s="39"/>
      <c r="F49" s="39"/>
      <c r="G49" s="39"/>
      <c r="H49" s="39"/>
      <c r="I49" s="39"/>
      <c r="J49" s="39"/>
      <c r="K49" s="39"/>
      <c r="L49" s="39"/>
      <c r="M49" s="39"/>
      <c r="N49" s="39"/>
      <c r="O49" s="39"/>
      <c r="P49" s="39"/>
      <c r="Q49" s="39"/>
      <c r="R49" s="39"/>
      <c r="S49" s="39"/>
      <c r="T49" s="39"/>
      <c r="U49" s="39"/>
      <c r="V49" s="39"/>
      <c r="W49" s="41"/>
      <c r="X49" s="39"/>
      <c r="Y49" s="39"/>
      <c r="Z49" s="39"/>
      <c r="AA49" s="39"/>
      <c r="AB49" s="39"/>
      <c r="AC49" s="39"/>
      <c r="AD49" s="39"/>
      <c r="AE49" s="39"/>
      <c r="AF49" s="39"/>
      <c r="AG49" s="39"/>
      <c r="AH49" s="39"/>
      <c r="AI49" s="39"/>
      <c r="AJ49" s="39"/>
      <c r="AK49" s="39"/>
      <c r="AL49" s="39"/>
      <c r="AM49" s="39"/>
      <c r="AN49" s="39"/>
      <c r="AO49" s="39"/>
      <c r="AP49" s="39"/>
      <c r="AQ49" s="41"/>
    </row>
    <row r="50" spans="1:43" s="149" customFormat="1" ht="15" customHeight="1" outlineLevel="1">
      <c r="A50" s="181" t="s">
        <v>192</v>
      </c>
      <c r="B50" s="153"/>
      <c r="C50" s="153"/>
      <c r="D50" s="153"/>
      <c r="E50" s="153"/>
      <c r="F50" s="153"/>
      <c r="G50" s="153"/>
      <c r="H50" s="153"/>
      <c r="I50" s="153"/>
      <c r="J50" s="153"/>
      <c r="K50" s="153"/>
      <c r="L50" s="153"/>
      <c r="M50" s="160"/>
      <c r="N50" s="153"/>
      <c r="O50" s="153"/>
      <c r="P50" s="181" t="s">
        <v>195</v>
      </c>
      <c r="R50" s="153"/>
      <c r="S50" s="153"/>
      <c r="T50" s="153"/>
      <c r="U50" s="153"/>
      <c r="V50" s="153"/>
      <c r="W50" s="153"/>
      <c r="X50" s="153"/>
      <c r="Y50" s="153"/>
      <c r="Z50" s="153"/>
      <c r="AA50" s="153"/>
      <c r="AB50" s="153"/>
      <c r="AC50" s="153"/>
      <c r="AD50" s="153"/>
      <c r="AE50" s="153"/>
      <c r="AF50" s="153"/>
      <c r="AG50" s="153"/>
    </row>
    <row r="51" spans="1:43" ht="15" customHeight="1" outlineLevel="1">
      <c r="A51" s="207" t="str">
        <f>HLOOKUP("Disclaimer",Caracteristik!$1:$2,2,FALSE)</f>
        <v>This is a non-contractual document provided for information only. This document is intended solely for unitholders or shareholders in the Fund. The information contained in this document is of no contractual value. Only the Fund’s full prospectus and latest financial statements shall be deemed legally binding. Past performance is no guarantee of future performance and is not constant over time. Stated performance includes all fees with the exception of subscription and redemption fees. Investors in this fund are exposed to risks associated with changes in the value of units or shares in the Fund arising from market fluctuations. As such, the value of an investment may rise or fall, and investors may consequently lose some or all of their initial investment. This document is provided for information purposes only and is not intended to be either legally binding or contractual in nature. The investor acknowledges having received a copy of the prospectus filed with the AMF prior to investing. In spite of the care taken in preparing this document, the management company cannot guarantee that the information it contains is accurate, complete and up to date. The company may not be held liable for any losses incurred by investors who base their investment decisions solely on this document. The information in this document may not be reproduced in full or in part without the prior consent of its author. All requests for further information about the Fund should be directed to Ofi Invest Asset Management, 22 rue Vernier, 75017 Paris, France.</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row>
    <row r="52" spans="1:43" ht="15" customHeight="1" outlineLevel="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row>
    <row r="53" spans="1:43" s="129" customFormat="1" ht="15" customHeight="1" outlineLevel="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row>
    <row r="54" spans="1:43" ht="15" customHeight="1" outlineLevel="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row>
    <row r="55" spans="1:43" s="175" customFormat="1" ht="15" customHeight="1" outlineLevel="1">
      <c r="A55" s="284" t="str">
        <f>HLOOKUP("contact",Caracteristik!$1:$2,2,FALSE)</f>
        <v>CONTACT • Sales Department • 01 40 68 17 17 • contact.clients.am@ofi-invest.com</v>
      </c>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row>
    <row r="56" spans="1:43" s="175" customFormat="1" ht="15" customHeight="1" outlineLevel="1">
      <c r="A56" s="285"/>
      <c r="B56" s="285"/>
      <c r="C56" s="285"/>
      <c r="D56" s="285"/>
      <c r="E56" s="285"/>
      <c r="F56" s="286" t="str">
        <f>HLOOKUP("adresse",Caracteristik!$1:$2,2,FALSE)</f>
        <v>Ofi Invest Asset Management •  A portfolio management company authorised by the AMF under number GP 92-12 • Intracommunity VAT no.: FR 51384940342 • 
Principal activity (APE) code 6630Z • 22 rue Vernier 75017 Paris • Tel.: + 33 (0)1 40 68 17 17 • Fax: + 33 (0)1 40 68 17 18 • www.ofi-invest-am.com</v>
      </c>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05" t="s">
        <v>260</v>
      </c>
      <c r="AN56" s="205"/>
      <c r="AO56" s="205"/>
      <c r="AP56" s="205"/>
      <c r="AQ56" s="205"/>
    </row>
    <row r="57" spans="1:43" s="175" customFormat="1" ht="15" customHeight="1" outlineLevel="1">
      <c r="A57" s="285"/>
      <c r="B57" s="285"/>
      <c r="C57" s="285"/>
      <c r="D57" s="285"/>
      <c r="E57" s="285"/>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05"/>
      <c r="AN57" s="205"/>
      <c r="AO57" s="205"/>
      <c r="AP57" s="205"/>
      <c r="AQ57" s="205"/>
    </row>
    <row r="58" spans="1:43" s="175" customFormat="1" ht="15" customHeight="1" outlineLevel="1">
      <c r="A58" s="285"/>
      <c r="B58" s="285"/>
      <c r="C58" s="285"/>
      <c r="D58" s="285"/>
      <c r="E58" s="285"/>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05"/>
      <c r="AN58" s="205"/>
      <c r="AO58" s="205"/>
      <c r="AP58" s="205"/>
      <c r="AQ58" s="205"/>
    </row>
    <row r="59" spans="1:43" s="175" customFormat="1" ht="15" customHeight="1" outlineLevel="1">
      <c r="A59" s="285"/>
      <c r="B59" s="285"/>
      <c r="C59" s="285"/>
      <c r="D59" s="285"/>
      <c r="E59" s="285"/>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05"/>
      <c r="AN59" s="205"/>
      <c r="AO59" s="205"/>
      <c r="AP59" s="205"/>
      <c r="AQ59" s="205"/>
    </row>
  </sheetData>
  <mergeCells count="143">
    <mergeCell ref="A4:AG5"/>
    <mergeCell ref="R14:T14"/>
    <mergeCell ref="L26:Q26"/>
    <mergeCell ref="R26:W26"/>
    <mergeCell ref="T42:U42"/>
    <mergeCell ref="A41:K41"/>
    <mergeCell ref="M41:W41"/>
    <mergeCell ref="A42:F42"/>
    <mergeCell ref="J42:K42"/>
    <mergeCell ref="M42:R42"/>
    <mergeCell ref="V42:W42"/>
    <mergeCell ref="H42:I42"/>
    <mergeCell ref="A27:E27"/>
    <mergeCell ref="F27:K27"/>
    <mergeCell ref="L27:Q27"/>
    <mergeCell ref="A26:E26"/>
    <mergeCell ref="F26:K26"/>
    <mergeCell ref="G34:I34"/>
    <mergeCell ref="T33:W33"/>
    <mergeCell ref="T34:W34"/>
    <mergeCell ref="P33:S33"/>
    <mergeCell ref="P34:S34"/>
    <mergeCell ref="J33:L33"/>
    <mergeCell ref="J34:L34"/>
    <mergeCell ref="A17:I17"/>
    <mergeCell ref="P9:Q9"/>
    <mergeCell ref="L9:O9"/>
    <mergeCell ref="R9:T9"/>
    <mergeCell ref="U9:W9"/>
    <mergeCell ref="P10:Q10"/>
    <mergeCell ref="L10:O10"/>
    <mergeCell ref="R10:T10"/>
    <mergeCell ref="U10:W10"/>
    <mergeCell ref="P11:Q11"/>
    <mergeCell ref="L11:O11"/>
    <mergeCell ref="R11:T11"/>
    <mergeCell ref="U11:W11"/>
    <mergeCell ref="J17:K17"/>
    <mergeCell ref="U12:W12"/>
    <mergeCell ref="P13:Q13"/>
    <mergeCell ref="L13:O13"/>
    <mergeCell ref="P17:Q17"/>
    <mergeCell ref="U14:W14"/>
    <mergeCell ref="P15:Q15"/>
    <mergeCell ref="L15:O15"/>
    <mergeCell ref="R15:T15"/>
    <mergeCell ref="U15:W15"/>
    <mergeCell ref="R16:T16"/>
    <mergeCell ref="A18:I18"/>
    <mergeCell ref="J18:K18"/>
    <mergeCell ref="J19:K19"/>
    <mergeCell ref="P19:Q19"/>
    <mergeCell ref="P18:Q18"/>
    <mergeCell ref="A19:I19"/>
    <mergeCell ref="J20:K20"/>
    <mergeCell ref="P20:Q20"/>
    <mergeCell ref="L20:O20"/>
    <mergeCell ref="A33:C33"/>
    <mergeCell ref="A34:C34"/>
    <mergeCell ref="A31:W31"/>
    <mergeCell ref="G33:I33"/>
    <mergeCell ref="M33:O33"/>
    <mergeCell ref="M34:O34"/>
    <mergeCell ref="A24:W24"/>
    <mergeCell ref="D33:F33"/>
    <mergeCell ref="D34:F34"/>
    <mergeCell ref="R20:T20"/>
    <mergeCell ref="U20:W20"/>
    <mergeCell ref="J16:K16"/>
    <mergeCell ref="R13:T13"/>
    <mergeCell ref="U13:W13"/>
    <mergeCell ref="P14:Q14"/>
    <mergeCell ref="L14:O14"/>
    <mergeCell ref="U19:W19"/>
    <mergeCell ref="L18:O18"/>
    <mergeCell ref="R18:T18"/>
    <mergeCell ref="U18:W18"/>
    <mergeCell ref="A55:AQ55"/>
    <mergeCell ref="A56:E59"/>
    <mergeCell ref="F56:AL59"/>
    <mergeCell ref="AM56:AQ59"/>
    <mergeCell ref="J44:K44"/>
    <mergeCell ref="V47:W47"/>
    <mergeCell ref="J47:K47"/>
    <mergeCell ref="H47:I47"/>
    <mergeCell ref="T47:U47"/>
    <mergeCell ref="A47:G47"/>
    <mergeCell ref="T44:U44"/>
    <mergeCell ref="M45:S45"/>
    <mergeCell ref="T45:U45"/>
    <mergeCell ref="M46:S46"/>
    <mergeCell ref="T46:U46"/>
    <mergeCell ref="M47:S47"/>
    <mergeCell ref="A44:G44"/>
    <mergeCell ref="A51:AQ54"/>
    <mergeCell ref="A1:AG3"/>
    <mergeCell ref="Y7:AQ7"/>
    <mergeCell ref="V45:W45"/>
    <mergeCell ref="J46:K46"/>
    <mergeCell ref="V46:W46"/>
    <mergeCell ref="V44:W44"/>
    <mergeCell ref="J45:K45"/>
    <mergeCell ref="V43:W43"/>
    <mergeCell ref="A39:W39"/>
    <mergeCell ref="J43:K43"/>
    <mergeCell ref="M43:S43"/>
    <mergeCell ref="T43:U43"/>
    <mergeCell ref="M44:S44"/>
    <mergeCell ref="R27:W27"/>
    <mergeCell ref="A43:G43"/>
    <mergeCell ref="P16:Q16"/>
    <mergeCell ref="L16:O16"/>
    <mergeCell ref="P12:Q12"/>
    <mergeCell ref="L12:O12"/>
    <mergeCell ref="A14:I14"/>
    <mergeCell ref="H43:I43"/>
    <mergeCell ref="J14:K14"/>
    <mergeCell ref="L19:O19"/>
    <mergeCell ref="R19:T19"/>
    <mergeCell ref="A7:W7"/>
    <mergeCell ref="A45:G45"/>
    <mergeCell ref="H44:I44"/>
    <mergeCell ref="H45:I45"/>
    <mergeCell ref="H46:I46"/>
    <mergeCell ref="A46:G46"/>
    <mergeCell ref="A16:I16"/>
    <mergeCell ref="A9:I9"/>
    <mergeCell ref="J9:K9"/>
    <mergeCell ref="A13:I13"/>
    <mergeCell ref="J13:K13"/>
    <mergeCell ref="A12:I12"/>
    <mergeCell ref="J12:K12"/>
    <mergeCell ref="J10:K10"/>
    <mergeCell ref="J11:K11"/>
    <mergeCell ref="A15:I15"/>
    <mergeCell ref="J15:K15"/>
    <mergeCell ref="A10:I10"/>
    <mergeCell ref="A11:I11"/>
    <mergeCell ref="R12:T12"/>
    <mergeCell ref="U16:W16"/>
    <mergeCell ref="L17:O17"/>
    <mergeCell ref="R17:T17"/>
    <mergeCell ref="U17:W17"/>
  </mergeCells>
  <hyperlinks>
    <hyperlink ref="AM56:AQ59" r:id="rId1" display="https://twitter.com/OfiInvestAM_Int"/>
  </hyperlinks>
  <printOptions horizontalCentered="1" verticalCentered="1"/>
  <pageMargins left="0.19685039370078741" right="0.19685039370078741" top="0.19685039370078741" bottom="0.19685039370078741" header="0" footer="0"/>
  <pageSetup paperSize="9" scale="6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0000"/>
    <outlinePr showOutlineSymbols="0"/>
    <pageSetUpPr fitToPage="1"/>
  </sheetPr>
  <dimension ref="A1:AQ59"/>
  <sheetViews>
    <sheetView showGridLines="0" showOutlineSymbols="0" view="pageBreakPreview" zoomScaleNormal="55" zoomScaleSheetLayoutView="100" workbookViewId="0">
      <selection sqref="A1:AG3"/>
    </sheetView>
  </sheetViews>
  <sheetFormatPr baseColWidth="10" defaultColWidth="4.7109375" defaultRowHeight="15" customHeight="1" outlineLevelRow="1"/>
  <sheetData>
    <row r="1" spans="1:43" s="175" customFormat="1" ht="15" customHeight="1" outlineLevel="1">
      <c r="A1" s="255">
        <f>Données!$A$3</f>
        <v>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row>
    <row r="2" spans="1:43" s="175" customFormat="1" ht="15" customHeight="1" outlineLevel="1">
      <c r="A2" s="257"/>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row>
    <row r="3" spans="1:43" s="175" customFormat="1" ht="15" customHeight="1" outlineLevel="1">
      <c r="A3" s="257"/>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row>
    <row r="4" spans="1:43" s="175" customFormat="1" ht="15" customHeight="1" outlineLevel="1">
      <c r="A4" s="258" t="e">
        <f>'Report (p1)'!A4:AG5</f>
        <v>#VALUE!</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135"/>
      <c r="AI4" s="135"/>
      <c r="AJ4" s="135"/>
      <c r="AK4" s="135"/>
      <c r="AL4" s="135"/>
      <c r="AM4" s="135"/>
      <c r="AN4" s="135"/>
      <c r="AO4" s="135"/>
      <c r="AP4" s="135"/>
      <c r="AQ4" s="135"/>
    </row>
    <row r="5" spans="1:43" s="175" customFormat="1" ht="15" customHeight="1" outlineLevel="1">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135"/>
      <c r="AI5" s="135"/>
      <c r="AJ5" s="135"/>
      <c r="AK5" s="135"/>
      <c r="AL5" s="135"/>
      <c r="AM5" s="135"/>
      <c r="AN5" s="135"/>
      <c r="AO5" s="135"/>
      <c r="AP5" s="135"/>
      <c r="AQ5" s="135"/>
    </row>
    <row r="6" spans="1:43" ht="15" customHeight="1" outlineLevel="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row>
    <row r="7" spans="1:43" ht="15" customHeight="1" outlineLevel="1">
      <c r="A7" s="233" t="s">
        <v>236</v>
      </c>
      <c r="B7" s="234"/>
      <c r="C7" s="234"/>
      <c r="D7" s="234"/>
      <c r="E7" s="234"/>
      <c r="F7" s="234"/>
      <c r="G7" s="234"/>
      <c r="H7" s="234"/>
      <c r="I7" s="234"/>
      <c r="J7" s="234"/>
      <c r="K7" s="234"/>
      <c r="L7" s="234"/>
      <c r="M7" s="234"/>
      <c r="N7" s="234"/>
      <c r="O7" s="234"/>
      <c r="P7" s="234"/>
      <c r="Q7" s="234"/>
      <c r="R7" s="234"/>
      <c r="S7" s="234"/>
      <c r="T7" s="234"/>
      <c r="U7" s="235"/>
      <c r="V7" s="44"/>
      <c r="W7" s="233" t="s">
        <v>237</v>
      </c>
      <c r="X7" s="234"/>
      <c r="Y7" s="234"/>
      <c r="Z7" s="234"/>
      <c r="AA7" s="234"/>
      <c r="AB7" s="234"/>
      <c r="AC7" s="234"/>
      <c r="AD7" s="234"/>
      <c r="AE7" s="234"/>
      <c r="AF7" s="234"/>
      <c r="AG7" s="234"/>
      <c r="AH7" s="234"/>
      <c r="AI7" s="234"/>
      <c r="AJ7" s="234"/>
      <c r="AK7" s="234"/>
      <c r="AL7" s="234"/>
      <c r="AM7" s="234"/>
      <c r="AN7" s="234"/>
      <c r="AO7" s="234"/>
      <c r="AP7" s="234"/>
      <c r="AQ7" s="235"/>
    </row>
    <row r="8" spans="1:43" ht="15" customHeight="1" outlineLevel="1">
      <c r="A8" s="87"/>
      <c r="B8" s="85"/>
      <c r="C8" s="85"/>
      <c r="D8" s="85"/>
      <c r="E8" s="85"/>
      <c r="F8" s="85"/>
      <c r="G8" s="85"/>
      <c r="H8" s="85"/>
      <c r="I8" s="85"/>
      <c r="J8" s="85"/>
      <c r="K8" s="85"/>
      <c r="L8" s="85"/>
      <c r="M8" s="85"/>
      <c r="N8" s="85"/>
      <c r="O8" s="85"/>
      <c r="P8" s="85"/>
      <c r="Q8" s="85"/>
      <c r="R8" s="85"/>
      <c r="S8" s="85"/>
      <c r="T8" s="85"/>
      <c r="U8" s="88"/>
      <c r="V8" s="44"/>
      <c r="W8" s="87"/>
      <c r="X8" s="85"/>
      <c r="Y8" s="85"/>
      <c r="Z8" s="85"/>
      <c r="AA8" s="85"/>
      <c r="AB8" s="85"/>
      <c r="AC8" s="85"/>
      <c r="AD8" s="85"/>
      <c r="AE8" s="85"/>
      <c r="AF8" s="85"/>
      <c r="AG8" s="85"/>
      <c r="AH8" s="85"/>
      <c r="AI8" s="85"/>
      <c r="AJ8" s="85"/>
      <c r="AK8" s="85"/>
      <c r="AL8" s="85"/>
      <c r="AM8" s="85"/>
      <c r="AN8" s="85"/>
      <c r="AO8" s="85"/>
      <c r="AP8" s="85"/>
      <c r="AQ8" s="88"/>
    </row>
    <row r="9" spans="1:43" ht="15" customHeight="1" outlineLevel="1">
      <c r="A9" s="87"/>
      <c r="B9" s="85"/>
      <c r="C9" s="85"/>
      <c r="D9" s="85"/>
      <c r="E9" s="85"/>
      <c r="F9" s="85"/>
      <c r="G9" s="85"/>
      <c r="H9" s="85"/>
      <c r="I9" s="85"/>
      <c r="J9" s="85"/>
      <c r="K9" s="85"/>
      <c r="L9" s="85"/>
      <c r="M9" s="85"/>
      <c r="N9" s="85"/>
      <c r="O9" s="85"/>
      <c r="P9" s="85"/>
      <c r="Q9" s="85"/>
      <c r="R9" s="85"/>
      <c r="S9" s="85"/>
      <c r="T9" s="85"/>
      <c r="U9" s="88"/>
      <c r="V9" s="44"/>
      <c r="W9" s="87"/>
      <c r="X9" s="85"/>
      <c r="Y9" s="85"/>
      <c r="Z9" s="85"/>
      <c r="AA9" s="85"/>
      <c r="AB9" s="85"/>
      <c r="AC9" s="85"/>
      <c r="AD9" s="85"/>
      <c r="AE9" s="85"/>
      <c r="AF9" s="85"/>
      <c r="AG9" s="85"/>
      <c r="AH9" s="85"/>
      <c r="AI9" s="85"/>
      <c r="AJ9" s="85"/>
      <c r="AK9" s="85"/>
      <c r="AL9" s="85"/>
      <c r="AM9" s="85"/>
      <c r="AN9" s="85"/>
      <c r="AO9" s="85"/>
      <c r="AP9" s="85"/>
      <c r="AQ9" s="88"/>
    </row>
    <row r="10" spans="1:43" ht="15" customHeight="1" outlineLevel="1">
      <c r="A10" s="87"/>
      <c r="B10" s="85"/>
      <c r="C10" s="85"/>
      <c r="D10" s="85"/>
      <c r="E10" s="85"/>
      <c r="F10" s="85"/>
      <c r="G10" s="85"/>
      <c r="H10" s="85"/>
      <c r="I10" s="85"/>
      <c r="J10" s="85"/>
      <c r="K10" s="85"/>
      <c r="L10" s="85"/>
      <c r="M10" s="85"/>
      <c r="N10" s="85"/>
      <c r="O10" s="85"/>
      <c r="P10" s="85"/>
      <c r="Q10" s="85"/>
      <c r="R10" s="85"/>
      <c r="S10" s="85"/>
      <c r="T10" s="85"/>
      <c r="U10" s="88"/>
      <c r="V10" s="44"/>
      <c r="W10" s="87"/>
      <c r="X10" s="85"/>
      <c r="Y10" s="85"/>
      <c r="Z10" s="85"/>
      <c r="AA10" s="85"/>
      <c r="AB10" s="85"/>
      <c r="AC10" s="85"/>
      <c r="AD10" s="85"/>
      <c r="AE10" s="85"/>
      <c r="AF10" s="85"/>
      <c r="AG10" s="85"/>
      <c r="AH10" s="85"/>
      <c r="AI10" s="85"/>
      <c r="AJ10" s="85"/>
      <c r="AK10" s="85"/>
      <c r="AL10" s="85"/>
      <c r="AM10" s="85"/>
      <c r="AN10" s="85"/>
      <c r="AO10" s="85"/>
      <c r="AP10" s="85"/>
      <c r="AQ10" s="88"/>
    </row>
    <row r="11" spans="1:43" ht="15" customHeight="1" outlineLevel="1">
      <c r="A11" s="87"/>
      <c r="B11" s="85"/>
      <c r="C11" s="85"/>
      <c r="D11" s="85"/>
      <c r="E11" s="85"/>
      <c r="F11" s="85"/>
      <c r="G11" s="85"/>
      <c r="H11" s="85"/>
      <c r="I11" s="85"/>
      <c r="J11" s="85"/>
      <c r="K11" s="85"/>
      <c r="L11" s="85"/>
      <c r="M11" s="85"/>
      <c r="N11" s="85"/>
      <c r="O11" s="85"/>
      <c r="P11" s="85"/>
      <c r="Q11" s="85"/>
      <c r="R11" s="85"/>
      <c r="S11" s="85"/>
      <c r="T11" s="85"/>
      <c r="U11" s="88"/>
      <c r="V11" s="44"/>
      <c r="W11" s="87"/>
      <c r="X11" s="85"/>
      <c r="Y11" s="85"/>
      <c r="Z11" s="85"/>
      <c r="AA11" s="85"/>
      <c r="AB11" s="85"/>
      <c r="AC11" s="85"/>
      <c r="AD11" s="85"/>
      <c r="AE11" s="85"/>
      <c r="AF11" s="85"/>
      <c r="AG11" s="85"/>
      <c r="AH11" s="85"/>
      <c r="AI11" s="85"/>
      <c r="AJ11" s="85"/>
      <c r="AK11" s="85"/>
      <c r="AL11" s="85"/>
      <c r="AM11" s="85"/>
      <c r="AN11" s="85"/>
      <c r="AO11" s="85"/>
      <c r="AP11" s="85"/>
      <c r="AQ11" s="88"/>
    </row>
    <row r="12" spans="1:43" ht="15" customHeight="1" outlineLevel="1">
      <c r="A12" s="87"/>
      <c r="B12" s="85"/>
      <c r="C12" s="85"/>
      <c r="D12" s="85"/>
      <c r="E12" s="85"/>
      <c r="F12" s="85"/>
      <c r="G12" s="85"/>
      <c r="H12" s="85"/>
      <c r="I12" s="85"/>
      <c r="J12" s="85"/>
      <c r="K12" s="85"/>
      <c r="L12" s="85"/>
      <c r="M12" s="85"/>
      <c r="N12" s="85"/>
      <c r="O12" s="85"/>
      <c r="P12" s="85"/>
      <c r="Q12" s="85"/>
      <c r="R12" s="85"/>
      <c r="S12" s="85"/>
      <c r="T12" s="85"/>
      <c r="U12" s="88"/>
      <c r="V12" s="44"/>
      <c r="W12" s="87"/>
      <c r="X12" s="85"/>
      <c r="Y12" s="85"/>
      <c r="Z12" s="85"/>
      <c r="AA12" s="85"/>
      <c r="AB12" s="85"/>
      <c r="AC12" s="85"/>
      <c r="AD12" s="85"/>
      <c r="AE12" s="85"/>
      <c r="AF12" s="85"/>
      <c r="AG12" s="85"/>
      <c r="AH12" s="85"/>
      <c r="AI12" s="85"/>
      <c r="AJ12" s="85"/>
      <c r="AK12" s="85"/>
      <c r="AL12" s="85"/>
      <c r="AM12" s="85"/>
      <c r="AN12" s="85"/>
      <c r="AO12" s="85"/>
      <c r="AP12" s="85"/>
      <c r="AQ12" s="88"/>
    </row>
    <row r="13" spans="1:43" s="101" customFormat="1" ht="15" customHeight="1" outlineLevel="1">
      <c r="A13" s="107"/>
      <c r="B13" s="103"/>
      <c r="C13" s="103"/>
      <c r="D13" s="103"/>
      <c r="E13" s="103"/>
      <c r="F13" s="103"/>
      <c r="G13" s="103"/>
      <c r="H13" s="103"/>
      <c r="I13" s="103"/>
      <c r="J13" s="103"/>
      <c r="K13" s="103"/>
      <c r="L13" s="103"/>
      <c r="M13" s="103"/>
      <c r="N13" s="103"/>
      <c r="O13" s="103"/>
      <c r="P13" s="103"/>
      <c r="Q13" s="103"/>
      <c r="R13" s="103"/>
      <c r="S13" s="103"/>
      <c r="T13" s="103"/>
      <c r="U13" s="108"/>
      <c r="W13" s="107"/>
      <c r="X13" s="103"/>
      <c r="Y13" s="103"/>
      <c r="Z13" s="103"/>
      <c r="AA13" s="103"/>
      <c r="AB13" s="103"/>
      <c r="AC13" s="103"/>
      <c r="AD13" s="103"/>
      <c r="AE13" s="103"/>
      <c r="AF13" s="103"/>
      <c r="AG13" s="103"/>
      <c r="AH13" s="103"/>
      <c r="AI13" s="103"/>
      <c r="AJ13" s="103"/>
      <c r="AK13" s="103"/>
      <c r="AL13" s="103"/>
      <c r="AM13" s="103"/>
      <c r="AN13" s="103"/>
      <c r="AO13" s="103"/>
      <c r="AP13" s="103"/>
      <c r="AQ13" s="108"/>
    </row>
    <row r="14" spans="1:43" s="101" customFormat="1" ht="15" customHeight="1" outlineLevel="1">
      <c r="A14" s="107"/>
      <c r="B14" s="103"/>
      <c r="C14" s="103"/>
      <c r="D14" s="103"/>
      <c r="E14" s="103"/>
      <c r="F14" s="103"/>
      <c r="G14" s="103"/>
      <c r="H14" s="103"/>
      <c r="I14" s="103"/>
      <c r="J14" s="103"/>
      <c r="K14" s="103"/>
      <c r="L14" s="103"/>
      <c r="M14" s="103"/>
      <c r="N14" s="103"/>
      <c r="O14" s="103"/>
      <c r="P14" s="103"/>
      <c r="Q14" s="103"/>
      <c r="R14" s="103"/>
      <c r="S14" s="103"/>
      <c r="T14" s="103"/>
      <c r="U14" s="108"/>
      <c r="W14" s="107"/>
      <c r="X14" s="103"/>
      <c r="Y14" s="103"/>
      <c r="Z14" s="103"/>
      <c r="AA14" s="103"/>
      <c r="AB14" s="103"/>
      <c r="AC14" s="103"/>
      <c r="AD14" s="103"/>
      <c r="AE14" s="103"/>
      <c r="AF14" s="103"/>
      <c r="AG14" s="103"/>
      <c r="AH14" s="103"/>
      <c r="AI14" s="103"/>
      <c r="AJ14" s="103"/>
      <c r="AK14" s="103"/>
      <c r="AL14" s="103"/>
      <c r="AM14" s="103"/>
      <c r="AN14" s="103"/>
      <c r="AO14" s="103"/>
      <c r="AP14" s="103"/>
      <c r="AQ14" s="108"/>
    </row>
    <row r="15" spans="1:43" s="101" customFormat="1" ht="15" customHeight="1" outlineLevel="1">
      <c r="A15" s="107"/>
      <c r="B15" s="103"/>
      <c r="C15" s="103"/>
      <c r="D15" s="103"/>
      <c r="E15" s="103"/>
      <c r="F15" s="103"/>
      <c r="G15" s="103"/>
      <c r="H15" s="103"/>
      <c r="I15" s="103"/>
      <c r="J15" s="103"/>
      <c r="K15" s="103"/>
      <c r="L15" s="103"/>
      <c r="M15" s="103"/>
      <c r="N15" s="103"/>
      <c r="O15" s="103"/>
      <c r="P15" s="103"/>
      <c r="Q15" s="103"/>
      <c r="R15" s="103"/>
      <c r="S15" s="103"/>
      <c r="T15" s="103"/>
      <c r="U15" s="108"/>
      <c r="W15" s="107"/>
      <c r="X15" s="103"/>
      <c r="Y15" s="103"/>
      <c r="Z15" s="103"/>
      <c r="AA15" s="103"/>
      <c r="AB15" s="103"/>
      <c r="AC15" s="103"/>
      <c r="AD15" s="103"/>
      <c r="AE15" s="103"/>
      <c r="AF15" s="103"/>
      <c r="AG15" s="103"/>
      <c r="AH15" s="103"/>
      <c r="AI15" s="103"/>
      <c r="AJ15" s="103"/>
      <c r="AK15" s="103"/>
      <c r="AL15" s="103"/>
      <c r="AM15" s="103"/>
      <c r="AN15" s="103"/>
      <c r="AO15" s="103"/>
      <c r="AP15" s="103"/>
      <c r="AQ15" s="108"/>
    </row>
    <row r="16" spans="1:43" ht="15" customHeight="1" outlineLevel="1">
      <c r="A16" s="87"/>
      <c r="B16" s="85"/>
      <c r="C16" s="85"/>
      <c r="D16" s="85"/>
      <c r="E16" s="85"/>
      <c r="F16" s="85"/>
      <c r="G16" s="85"/>
      <c r="H16" s="85"/>
      <c r="I16" s="85"/>
      <c r="J16" s="85"/>
      <c r="K16" s="85"/>
      <c r="L16" s="85"/>
      <c r="M16" s="85"/>
      <c r="N16" s="85"/>
      <c r="O16" s="85"/>
      <c r="P16" s="85"/>
      <c r="Q16" s="85"/>
      <c r="R16" s="85"/>
      <c r="S16" s="85"/>
      <c r="T16" s="85"/>
      <c r="U16" s="88"/>
      <c r="V16" s="44"/>
      <c r="W16" s="87"/>
      <c r="X16" s="85"/>
      <c r="Y16" s="85"/>
      <c r="Z16" s="85"/>
      <c r="AA16" s="85"/>
      <c r="AB16" s="85"/>
      <c r="AC16" s="85"/>
      <c r="AD16" s="85"/>
      <c r="AE16" s="85"/>
      <c r="AF16" s="85"/>
      <c r="AG16" s="85"/>
      <c r="AH16" s="85"/>
      <c r="AI16" s="85"/>
      <c r="AJ16" s="85"/>
      <c r="AK16" s="85"/>
      <c r="AL16" s="85"/>
      <c r="AM16" s="85"/>
      <c r="AN16" s="85"/>
      <c r="AO16" s="85"/>
      <c r="AP16" s="85"/>
      <c r="AQ16" s="88"/>
    </row>
    <row r="17" spans="1:43" ht="15" customHeight="1" outlineLevel="1">
      <c r="A17" s="87"/>
      <c r="B17" s="85"/>
      <c r="C17" s="85"/>
      <c r="D17" s="85"/>
      <c r="E17" s="85"/>
      <c r="F17" s="85"/>
      <c r="G17" s="85"/>
      <c r="H17" s="85"/>
      <c r="I17" s="85"/>
      <c r="J17" s="85"/>
      <c r="K17" s="85"/>
      <c r="L17" s="85"/>
      <c r="M17" s="85"/>
      <c r="N17" s="85"/>
      <c r="O17" s="85"/>
      <c r="P17" s="85"/>
      <c r="Q17" s="85"/>
      <c r="R17" s="85"/>
      <c r="S17" s="85"/>
      <c r="T17" s="85"/>
      <c r="U17" s="88"/>
      <c r="V17" s="44"/>
      <c r="W17" s="87"/>
      <c r="X17" s="85"/>
      <c r="Y17" s="85"/>
      <c r="Z17" s="85"/>
      <c r="AA17" s="85"/>
      <c r="AB17" s="85"/>
      <c r="AC17" s="85"/>
      <c r="AD17" s="85"/>
      <c r="AE17" s="85"/>
      <c r="AF17" s="85"/>
      <c r="AG17" s="85"/>
      <c r="AH17" s="85"/>
      <c r="AI17" s="85"/>
      <c r="AJ17" s="85"/>
      <c r="AK17" s="85"/>
      <c r="AL17" s="85"/>
      <c r="AM17" s="85"/>
      <c r="AN17" s="85"/>
      <c r="AO17" s="85"/>
      <c r="AP17" s="85"/>
      <c r="AQ17" s="88"/>
    </row>
    <row r="18" spans="1:43" s="92" customFormat="1" ht="15" customHeight="1" outlineLevel="1">
      <c r="A18" s="87"/>
      <c r="B18" s="85"/>
      <c r="C18" s="85"/>
      <c r="D18" s="85"/>
      <c r="E18" s="85"/>
      <c r="F18" s="85"/>
      <c r="G18" s="85"/>
      <c r="H18" s="85"/>
      <c r="I18" s="85"/>
      <c r="J18" s="85"/>
      <c r="K18" s="85"/>
      <c r="L18" s="85"/>
      <c r="M18" s="85"/>
      <c r="N18" s="85"/>
      <c r="O18" s="85"/>
      <c r="P18" s="85"/>
      <c r="Q18" s="85"/>
      <c r="R18" s="85"/>
      <c r="S18" s="85"/>
      <c r="T18" s="85"/>
      <c r="U18" s="88"/>
      <c r="W18" s="87"/>
      <c r="X18" s="85"/>
      <c r="Y18" s="85"/>
      <c r="Z18" s="85"/>
      <c r="AA18" s="85"/>
      <c r="AB18" s="85"/>
      <c r="AC18" s="85"/>
      <c r="AD18" s="85"/>
      <c r="AE18" s="85"/>
      <c r="AF18" s="85"/>
      <c r="AG18" s="85"/>
      <c r="AH18" s="85"/>
      <c r="AI18" s="85"/>
      <c r="AJ18" s="85"/>
      <c r="AK18" s="85"/>
      <c r="AL18" s="85"/>
      <c r="AM18" s="85"/>
      <c r="AN18" s="85"/>
      <c r="AO18" s="85"/>
      <c r="AP18" s="85"/>
      <c r="AQ18" s="88"/>
    </row>
    <row r="19" spans="1:43" s="92" customFormat="1" ht="15" customHeight="1" outlineLevel="1">
      <c r="A19" s="87"/>
      <c r="B19" s="85"/>
      <c r="C19" s="85"/>
      <c r="D19" s="85"/>
      <c r="E19" s="85"/>
      <c r="F19" s="85"/>
      <c r="G19" s="85"/>
      <c r="H19" s="85"/>
      <c r="I19" s="85"/>
      <c r="J19" s="85"/>
      <c r="K19" s="85"/>
      <c r="L19" s="85"/>
      <c r="M19" s="85"/>
      <c r="N19" s="85"/>
      <c r="O19" s="85"/>
      <c r="P19" s="85"/>
      <c r="Q19" s="85"/>
      <c r="R19" s="85"/>
      <c r="S19" s="85"/>
      <c r="T19" s="85"/>
      <c r="U19" s="88"/>
      <c r="W19" s="87"/>
      <c r="X19" s="85"/>
      <c r="Y19" s="85"/>
      <c r="Z19" s="85"/>
      <c r="AA19" s="85"/>
      <c r="AB19" s="85"/>
      <c r="AC19" s="85"/>
      <c r="AD19" s="85"/>
      <c r="AE19" s="85"/>
      <c r="AF19" s="85"/>
      <c r="AG19" s="85"/>
      <c r="AH19" s="85"/>
      <c r="AI19" s="85"/>
      <c r="AJ19" s="85"/>
      <c r="AK19" s="85"/>
      <c r="AL19" s="85"/>
      <c r="AM19" s="85"/>
      <c r="AN19" s="85"/>
      <c r="AO19" s="85"/>
      <c r="AP19" s="85"/>
      <c r="AQ19" s="88"/>
    </row>
    <row r="20" spans="1:43" ht="15" customHeight="1" outlineLevel="1">
      <c r="A20" s="87"/>
      <c r="B20" s="85"/>
      <c r="C20" s="85"/>
      <c r="D20" s="85"/>
      <c r="E20" s="85"/>
      <c r="F20" s="85"/>
      <c r="G20" s="85"/>
      <c r="H20" s="85"/>
      <c r="I20" s="85"/>
      <c r="J20" s="85"/>
      <c r="K20" s="85"/>
      <c r="L20" s="85"/>
      <c r="M20" s="85"/>
      <c r="N20" s="85"/>
      <c r="O20" s="85"/>
      <c r="P20" s="85"/>
      <c r="Q20" s="85"/>
      <c r="R20" s="85"/>
      <c r="S20" s="85"/>
      <c r="T20" s="85"/>
      <c r="U20" s="88"/>
      <c r="V20" s="44"/>
      <c r="W20" s="87"/>
      <c r="X20" s="85"/>
      <c r="Y20" s="85"/>
      <c r="Z20" s="85"/>
      <c r="AA20" s="85"/>
      <c r="AB20" s="85"/>
      <c r="AC20" s="85"/>
      <c r="AD20" s="85"/>
      <c r="AE20" s="85"/>
      <c r="AF20" s="85"/>
      <c r="AG20" s="85"/>
      <c r="AH20" s="85"/>
      <c r="AI20" s="85"/>
      <c r="AJ20" s="85"/>
      <c r="AK20" s="85"/>
      <c r="AL20" s="85"/>
      <c r="AM20" s="85"/>
      <c r="AN20" s="85"/>
      <c r="AO20" s="85"/>
      <c r="AP20" s="85"/>
      <c r="AQ20" s="88"/>
    </row>
    <row r="21" spans="1:43" ht="15" customHeight="1" outlineLevel="1">
      <c r="A21" s="87"/>
      <c r="B21" s="85"/>
      <c r="C21" s="85"/>
      <c r="D21" s="85"/>
      <c r="E21" s="85"/>
      <c r="F21" s="85"/>
      <c r="G21" s="85"/>
      <c r="H21" s="85"/>
      <c r="I21" s="85"/>
      <c r="J21" s="85"/>
      <c r="K21" s="85"/>
      <c r="L21" s="85"/>
      <c r="M21" s="85"/>
      <c r="N21" s="85"/>
      <c r="O21" s="85"/>
      <c r="P21" s="85"/>
      <c r="Q21" s="85"/>
      <c r="R21" s="85"/>
      <c r="S21" s="85"/>
      <c r="T21" s="85"/>
      <c r="U21" s="88"/>
      <c r="V21" s="44"/>
      <c r="W21" s="87"/>
      <c r="X21" s="85"/>
      <c r="Y21" s="85"/>
      <c r="Z21" s="85"/>
      <c r="AA21" s="85"/>
      <c r="AB21" s="85"/>
      <c r="AC21" s="85"/>
      <c r="AD21" s="85"/>
      <c r="AE21" s="85"/>
      <c r="AF21" s="85"/>
      <c r="AG21" s="85"/>
      <c r="AH21" s="85"/>
      <c r="AI21" s="85"/>
      <c r="AJ21" s="85"/>
      <c r="AK21" s="85"/>
      <c r="AL21" s="85"/>
      <c r="AM21" s="85"/>
      <c r="AN21" s="85"/>
      <c r="AO21" s="85"/>
      <c r="AP21" s="85"/>
      <c r="AQ21" s="88"/>
    </row>
    <row r="22" spans="1:43" ht="15" customHeight="1" outlineLevel="1">
      <c r="A22" s="87"/>
      <c r="B22" s="85"/>
      <c r="C22" s="85"/>
      <c r="D22" s="85"/>
      <c r="E22" s="85"/>
      <c r="F22" s="85"/>
      <c r="G22" s="85"/>
      <c r="H22" s="85"/>
      <c r="I22" s="85"/>
      <c r="J22" s="85"/>
      <c r="K22" s="85"/>
      <c r="L22" s="85"/>
      <c r="M22" s="85"/>
      <c r="N22" s="85"/>
      <c r="O22" s="85"/>
      <c r="P22" s="85"/>
      <c r="Q22" s="85"/>
      <c r="R22" s="85"/>
      <c r="S22" s="85"/>
      <c r="T22" s="85"/>
      <c r="U22" s="88"/>
      <c r="V22" s="44"/>
      <c r="W22" s="87"/>
      <c r="X22" s="85"/>
      <c r="Y22" s="85"/>
      <c r="Z22" s="85"/>
      <c r="AA22" s="85"/>
      <c r="AB22" s="85"/>
      <c r="AC22" s="85"/>
      <c r="AD22" s="85"/>
      <c r="AE22" s="85"/>
      <c r="AF22" s="85"/>
      <c r="AG22" s="85"/>
      <c r="AH22" s="85"/>
      <c r="AI22" s="85"/>
      <c r="AJ22" s="85"/>
      <c r="AK22" s="85"/>
      <c r="AL22" s="85"/>
      <c r="AM22" s="85"/>
      <c r="AN22" s="85"/>
      <c r="AO22" s="85"/>
      <c r="AP22" s="85"/>
      <c r="AQ22" s="88"/>
    </row>
    <row r="23" spans="1:43" ht="15" customHeight="1" outlineLevel="1">
      <c r="A23" s="87"/>
      <c r="B23" s="85"/>
      <c r="C23" s="85"/>
      <c r="D23" s="85"/>
      <c r="E23" s="85"/>
      <c r="F23" s="85"/>
      <c r="G23" s="85"/>
      <c r="H23" s="85"/>
      <c r="I23" s="85"/>
      <c r="J23" s="85"/>
      <c r="K23" s="85"/>
      <c r="L23" s="85"/>
      <c r="M23" s="85"/>
      <c r="N23" s="85"/>
      <c r="O23" s="85"/>
      <c r="P23" s="85"/>
      <c r="Q23" s="85"/>
      <c r="R23" s="85"/>
      <c r="S23" s="85"/>
      <c r="T23" s="85"/>
      <c r="U23" s="88"/>
      <c r="V23" s="44"/>
      <c r="W23" s="87"/>
      <c r="X23" s="85"/>
      <c r="Y23" s="85"/>
      <c r="Z23" s="85"/>
      <c r="AA23" s="85"/>
      <c r="AB23" s="85"/>
      <c r="AC23" s="85"/>
      <c r="AD23" s="85"/>
      <c r="AE23" s="85"/>
      <c r="AF23" s="85"/>
      <c r="AG23" s="85"/>
      <c r="AH23" s="85"/>
      <c r="AI23" s="85"/>
      <c r="AJ23" s="85"/>
      <c r="AK23" s="85"/>
      <c r="AL23" s="85"/>
      <c r="AM23" s="85"/>
      <c r="AN23" s="85"/>
      <c r="AO23" s="85"/>
      <c r="AP23" s="85"/>
      <c r="AQ23" s="88"/>
    </row>
    <row r="24" spans="1:43" ht="15" customHeight="1" outlineLevel="1">
      <c r="A24" s="87"/>
      <c r="B24" s="85"/>
      <c r="C24" s="85"/>
      <c r="D24" s="85"/>
      <c r="E24" s="85"/>
      <c r="F24" s="85"/>
      <c r="G24" s="85"/>
      <c r="H24" s="85"/>
      <c r="I24" s="85"/>
      <c r="J24" s="85"/>
      <c r="K24" s="85"/>
      <c r="L24" s="85"/>
      <c r="M24" s="85"/>
      <c r="N24" s="85"/>
      <c r="O24" s="85"/>
      <c r="P24" s="85"/>
      <c r="Q24" s="85"/>
      <c r="R24" s="85"/>
      <c r="S24" s="85"/>
      <c r="T24" s="85"/>
      <c r="U24" s="88"/>
      <c r="V24" s="44"/>
      <c r="W24" s="87"/>
      <c r="X24" s="85"/>
      <c r="Y24" s="85"/>
      <c r="Z24" s="85"/>
      <c r="AA24" s="85"/>
      <c r="AB24" s="85"/>
      <c r="AC24" s="85"/>
      <c r="AD24" s="85"/>
      <c r="AE24" s="85"/>
      <c r="AF24" s="85"/>
      <c r="AG24" s="85"/>
      <c r="AH24" s="85"/>
      <c r="AI24" s="85"/>
      <c r="AJ24" s="85"/>
      <c r="AK24" s="85"/>
      <c r="AL24" s="85"/>
      <c r="AM24" s="85"/>
      <c r="AN24" s="85"/>
      <c r="AO24" s="85"/>
      <c r="AP24" s="85"/>
      <c r="AQ24" s="88"/>
    </row>
    <row r="25" spans="1:43" ht="15" customHeight="1" outlineLevel="1">
      <c r="A25" s="87"/>
      <c r="B25" s="85"/>
      <c r="C25" s="85"/>
      <c r="D25" s="85"/>
      <c r="E25" s="85"/>
      <c r="F25" s="85"/>
      <c r="G25" s="85"/>
      <c r="H25" s="85"/>
      <c r="I25" s="85"/>
      <c r="J25" s="85"/>
      <c r="K25" s="85"/>
      <c r="L25" s="85"/>
      <c r="M25" s="85"/>
      <c r="N25" s="85"/>
      <c r="O25" s="85"/>
      <c r="P25" s="85"/>
      <c r="Q25" s="85"/>
      <c r="R25" s="85"/>
      <c r="S25" s="85"/>
      <c r="T25" s="85"/>
      <c r="U25" s="88"/>
      <c r="V25" s="44"/>
      <c r="W25" s="87"/>
      <c r="X25" s="85"/>
      <c r="Y25" s="85"/>
      <c r="Z25" s="85"/>
      <c r="AA25" s="85"/>
      <c r="AB25" s="85"/>
      <c r="AC25" s="85"/>
      <c r="AD25" s="85"/>
      <c r="AE25" s="85"/>
      <c r="AF25" s="85"/>
      <c r="AG25" s="85"/>
      <c r="AH25" s="85"/>
      <c r="AI25" s="85"/>
      <c r="AJ25" s="85"/>
      <c r="AK25" s="85"/>
      <c r="AL25" s="85"/>
      <c r="AM25" s="85"/>
      <c r="AN25" s="85"/>
      <c r="AO25" s="85"/>
      <c r="AP25" s="85"/>
      <c r="AQ25" s="88"/>
    </row>
    <row r="26" spans="1:43" ht="15" customHeight="1" outlineLevel="1">
      <c r="A26" s="87"/>
      <c r="B26" s="85"/>
      <c r="C26" s="85"/>
      <c r="D26" s="85"/>
      <c r="E26" s="85"/>
      <c r="F26" s="85"/>
      <c r="G26" s="85"/>
      <c r="H26" s="85"/>
      <c r="I26" s="85"/>
      <c r="J26" s="85"/>
      <c r="K26" s="85"/>
      <c r="L26" s="85"/>
      <c r="M26" s="85"/>
      <c r="N26" s="85"/>
      <c r="O26" s="85"/>
      <c r="P26" s="85"/>
      <c r="Q26" s="85"/>
      <c r="R26" s="85"/>
      <c r="S26" s="85"/>
      <c r="T26" s="85"/>
      <c r="U26" s="88"/>
      <c r="V26" s="44"/>
      <c r="W26" s="87"/>
      <c r="X26" s="85"/>
      <c r="Y26" s="85"/>
      <c r="Z26" s="85"/>
      <c r="AA26" s="85"/>
      <c r="AB26" s="85"/>
      <c r="AC26" s="85"/>
      <c r="AD26" s="85"/>
      <c r="AE26" s="85"/>
      <c r="AF26" s="85"/>
      <c r="AG26" s="85"/>
      <c r="AH26" s="85"/>
      <c r="AI26" s="85"/>
      <c r="AJ26" s="85"/>
      <c r="AK26" s="85"/>
      <c r="AL26" s="85"/>
      <c r="AM26" s="85"/>
      <c r="AN26" s="85"/>
      <c r="AO26" s="85"/>
      <c r="AP26" s="85"/>
      <c r="AQ26" s="88"/>
    </row>
    <row r="27" spans="1:43" ht="15" customHeight="1" outlineLevel="1">
      <c r="A27" s="87"/>
      <c r="B27" s="85"/>
      <c r="C27" s="85"/>
      <c r="D27" s="85"/>
      <c r="E27" s="85"/>
      <c r="F27" s="85"/>
      <c r="G27" s="85"/>
      <c r="H27" s="85"/>
      <c r="I27" s="85"/>
      <c r="J27" s="85"/>
      <c r="K27" s="85"/>
      <c r="L27" s="85"/>
      <c r="M27" s="85"/>
      <c r="N27" s="85"/>
      <c r="O27" s="85"/>
      <c r="P27" s="85"/>
      <c r="Q27" s="85"/>
      <c r="R27" s="85"/>
      <c r="S27" s="85"/>
      <c r="T27" s="85"/>
      <c r="U27" s="88"/>
      <c r="V27" s="44"/>
      <c r="W27" s="87"/>
      <c r="X27" s="85"/>
      <c r="Y27" s="85"/>
      <c r="Z27" s="85"/>
      <c r="AA27" s="85"/>
      <c r="AB27" s="85"/>
      <c r="AC27" s="85"/>
      <c r="AD27" s="85"/>
      <c r="AE27" s="85"/>
      <c r="AF27" s="85"/>
      <c r="AG27" s="85"/>
      <c r="AH27" s="85"/>
      <c r="AI27" s="85"/>
      <c r="AJ27" s="85"/>
      <c r="AK27" s="85"/>
      <c r="AL27" s="85"/>
      <c r="AM27" s="85"/>
      <c r="AN27" s="85"/>
      <c r="AO27" s="85"/>
      <c r="AP27" s="85"/>
      <c r="AQ27" s="88"/>
    </row>
    <row r="28" spans="1:43" ht="15" customHeight="1" outlineLevel="1">
      <c r="A28" s="91"/>
      <c r="B28" s="89"/>
      <c r="C28" s="89"/>
      <c r="D28" s="89"/>
      <c r="E28" s="89"/>
      <c r="F28" s="89"/>
      <c r="G28" s="89"/>
      <c r="H28" s="89"/>
      <c r="I28" s="89"/>
      <c r="J28" s="89"/>
      <c r="K28" s="89"/>
      <c r="L28" s="89"/>
      <c r="M28" s="89"/>
      <c r="N28" s="89"/>
      <c r="O28" s="89"/>
      <c r="P28" s="89"/>
      <c r="Q28" s="89"/>
      <c r="R28" s="89"/>
      <c r="S28" s="89"/>
      <c r="T28" s="89"/>
      <c r="U28" s="90"/>
      <c r="V28" s="44"/>
      <c r="W28" s="91"/>
      <c r="X28" s="89"/>
      <c r="Y28" s="89"/>
      <c r="Z28" s="89"/>
      <c r="AA28" s="89"/>
      <c r="AB28" s="89"/>
      <c r="AC28" s="89"/>
      <c r="AD28" s="89"/>
      <c r="AE28" s="89"/>
      <c r="AF28" s="89"/>
      <c r="AG28" s="89"/>
      <c r="AH28" s="89"/>
      <c r="AI28" s="89"/>
      <c r="AJ28" s="89"/>
      <c r="AK28" s="89"/>
      <c r="AL28" s="89"/>
      <c r="AM28" s="89"/>
      <c r="AN28" s="89"/>
      <c r="AO28" s="89"/>
      <c r="AP28" s="89"/>
      <c r="AQ28" s="90"/>
    </row>
    <row r="29" spans="1:43" ht="15" customHeight="1" outlineLevel="1">
      <c r="A29" s="48"/>
      <c r="B29" s="48"/>
      <c r="C29" s="48"/>
      <c r="D29" s="48"/>
      <c r="E29" s="48"/>
      <c r="F29" s="48"/>
      <c r="G29" s="48"/>
      <c r="H29" s="48"/>
      <c r="I29" s="48"/>
      <c r="J29" s="48"/>
      <c r="K29" s="47"/>
      <c r="L29" s="49"/>
      <c r="M29" s="49"/>
      <c r="N29" s="44"/>
      <c r="O29" s="44"/>
      <c r="P29" s="44"/>
      <c r="Q29" s="44"/>
      <c r="R29" s="44"/>
      <c r="S29" s="44"/>
      <c r="T29" s="44"/>
      <c r="U29" s="86" t="s">
        <v>264</v>
      </c>
      <c r="V29" s="44"/>
      <c r="W29" s="44"/>
      <c r="X29" s="44"/>
      <c r="Y29" s="44"/>
      <c r="Z29" s="47"/>
      <c r="AA29" s="49"/>
      <c r="AB29" s="49"/>
      <c r="AC29" s="44"/>
      <c r="AD29" s="44"/>
      <c r="AE29" s="44"/>
      <c r="AF29" s="44"/>
      <c r="AG29" s="44"/>
      <c r="AH29" s="44"/>
      <c r="AI29" s="44"/>
      <c r="AJ29" s="44"/>
      <c r="AK29" s="44"/>
      <c r="AL29" s="44"/>
      <c r="AM29" s="44"/>
      <c r="AN29" s="44"/>
      <c r="AO29" s="44"/>
      <c r="AP29" s="44"/>
      <c r="AQ29" s="86" t="s">
        <v>263</v>
      </c>
    </row>
    <row r="30" spans="1:43" ht="15" customHeight="1" outlineLevel="1">
      <c r="A30" s="46"/>
      <c r="B30" s="46"/>
      <c r="C30" s="46"/>
      <c r="D30" s="46"/>
      <c r="E30" s="46"/>
      <c r="F30" s="46"/>
      <c r="G30" s="46"/>
      <c r="H30" s="46"/>
      <c r="I30" s="46"/>
      <c r="J30" s="46"/>
      <c r="K30" s="46"/>
      <c r="L30" s="46"/>
      <c r="M30" s="46"/>
      <c r="N30" s="46"/>
      <c r="O30" s="46"/>
      <c r="P30" s="46"/>
      <c r="Q30" s="46"/>
      <c r="R30" s="46"/>
      <c r="S30" s="46"/>
      <c r="T30" s="46"/>
      <c r="U30" s="49"/>
      <c r="V30" s="46"/>
      <c r="W30" s="46"/>
      <c r="X30" s="46"/>
      <c r="Y30" s="46"/>
      <c r="Z30" s="46"/>
      <c r="AA30" s="46"/>
      <c r="AB30" s="46"/>
      <c r="AC30" s="46"/>
      <c r="AD30" s="46"/>
      <c r="AE30" s="46"/>
      <c r="AF30" s="46"/>
      <c r="AG30" s="46"/>
      <c r="AH30" s="46"/>
      <c r="AI30" s="46"/>
      <c r="AJ30" s="46"/>
      <c r="AK30" s="46"/>
      <c r="AL30" s="46"/>
      <c r="AM30" s="46"/>
      <c r="AN30" s="46"/>
      <c r="AO30" s="46"/>
      <c r="AP30" s="46"/>
      <c r="AQ30" s="49"/>
    </row>
    <row r="31" spans="1:43" ht="15" customHeight="1" outlineLevel="1"/>
    <row r="32" spans="1:43" ht="15" customHeight="1" outlineLevel="1">
      <c r="A32" s="233" t="s">
        <v>238</v>
      </c>
      <c r="B32" s="234"/>
      <c r="C32" s="234"/>
      <c r="D32" s="234"/>
      <c r="E32" s="234"/>
      <c r="F32" s="234"/>
      <c r="G32" s="234"/>
      <c r="H32" s="234"/>
      <c r="I32" s="234"/>
      <c r="J32" s="234"/>
      <c r="K32" s="234"/>
      <c r="L32" s="234"/>
      <c r="M32" s="234"/>
      <c r="N32" s="235"/>
      <c r="O32" s="112"/>
      <c r="P32" s="233" t="s">
        <v>239</v>
      </c>
      <c r="Q32" s="234"/>
      <c r="R32" s="234"/>
      <c r="S32" s="234"/>
      <c r="T32" s="234"/>
      <c r="U32" s="234"/>
      <c r="V32" s="234"/>
      <c r="W32" s="234"/>
      <c r="X32" s="234"/>
      <c r="Y32" s="234"/>
      <c r="Z32" s="234"/>
      <c r="AA32" s="234"/>
      <c r="AB32" s="235"/>
      <c r="AC32" s="112"/>
      <c r="AD32" s="266" t="s">
        <v>240</v>
      </c>
      <c r="AE32" s="267"/>
      <c r="AF32" s="267"/>
      <c r="AG32" s="267"/>
      <c r="AH32" s="267"/>
      <c r="AI32" s="267"/>
      <c r="AJ32" s="267"/>
      <c r="AK32" s="267"/>
      <c r="AL32" s="267"/>
      <c r="AM32" s="267"/>
      <c r="AN32" s="267"/>
      <c r="AO32" s="267"/>
      <c r="AP32" s="267"/>
      <c r="AQ32" s="268"/>
    </row>
    <row r="33" spans="1:43" ht="15" customHeight="1" outlineLevel="1">
      <c r="A33" s="115"/>
      <c r="B33" s="114"/>
      <c r="C33" s="114"/>
      <c r="D33" s="114"/>
      <c r="E33" s="114"/>
      <c r="F33" s="114"/>
      <c r="G33" s="114"/>
      <c r="H33" s="114"/>
      <c r="I33" s="114"/>
      <c r="J33" s="114"/>
      <c r="K33" s="114"/>
      <c r="L33" s="114"/>
      <c r="M33" s="113"/>
      <c r="N33" s="119"/>
      <c r="O33" s="112"/>
      <c r="P33" s="115"/>
      <c r="Q33" s="114"/>
      <c r="R33" s="114"/>
      <c r="S33" s="114"/>
      <c r="T33" s="114"/>
      <c r="U33" s="114"/>
      <c r="V33" s="114"/>
      <c r="W33" s="114"/>
      <c r="X33" s="114"/>
      <c r="Y33" s="114"/>
      <c r="Z33" s="114"/>
      <c r="AA33" s="113"/>
      <c r="AB33" s="119"/>
      <c r="AC33" s="112"/>
      <c r="AD33" s="118"/>
      <c r="AE33" s="113"/>
      <c r="AF33" s="113"/>
      <c r="AG33" s="113"/>
      <c r="AH33" s="113"/>
      <c r="AI33" s="113"/>
      <c r="AJ33" s="113"/>
      <c r="AK33" s="113"/>
      <c r="AL33" s="113"/>
      <c r="AM33" s="113"/>
      <c r="AN33" s="113"/>
      <c r="AO33" s="113"/>
      <c r="AP33" s="113"/>
      <c r="AQ33" s="119"/>
    </row>
    <row r="34" spans="1:43" ht="15" customHeight="1" outlineLevel="1">
      <c r="A34" s="118"/>
      <c r="B34" s="113"/>
      <c r="C34" s="113"/>
      <c r="D34" s="113"/>
      <c r="E34" s="113"/>
      <c r="F34" s="113"/>
      <c r="G34" s="113"/>
      <c r="H34" s="113"/>
      <c r="I34" s="113"/>
      <c r="J34" s="113"/>
      <c r="K34" s="113"/>
      <c r="L34" s="113"/>
      <c r="M34" s="113"/>
      <c r="N34" s="119"/>
      <c r="O34" s="112"/>
      <c r="P34" s="118"/>
      <c r="Q34" s="113"/>
      <c r="R34" s="113"/>
      <c r="S34" s="113"/>
      <c r="T34" s="113"/>
      <c r="U34" s="113"/>
      <c r="V34" s="113"/>
      <c r="W34" s="113"/>
      <c r="X34" s="113"/>
      <c r="Y34" s="113"/>
      <c r="Z34" s="113"/>
      <c r="AA34" s="113"/>
      <c r="AB34" s="119"/>
      <c r="AC34" s="112"/>
      <c r="AD34" s="118"/>
      <c r="AE34" s="113"/>
      <c r="AF34" s="113"/>
      <c r="AG34" s="113"/>
      <c r="AH34" s="113"/>
      <c r="AI34" s="113"/>
      <c r="AJ34" s="113"/>
      <c r="AK34" s="113"/>
      <c r="AL34" s="113"/>
      <c r="AM34" s="113"/>
      <c r="AN34" s="113"/>
      <c r="AO34" s="113"/>
      <c r="AP34" s="113"/>
      <c r="AQ34" s="119"/>
    </row>
    <row r="35" spans="1:43" ht="15" customHeight="1" outlineLevel="1">
      <c r="A35" s="118"/>
      <c r="B35" s="113"/>
      <c r="C35" s="113"/>
      <c r="D35" s="113"/>
      <c r="E35" s="113"/>
      <c r="F35" s="113"/>
      <c r="G35" s="113"/>
      <c r="H35" s="113"/>
      <c r="I35" s="113"/>
      <c r="J35" s="113"/>
      <c r="K35" s="113"/>
      <c r="L35" s="113"/>
      <c r="M35" s="113"/>
      <c r="N35" s="119"/>
      <c r="O35" s="112"/>
      <c r="P35" s="118"/>
      <c r="Q35" s="113"/>
      <c r="R35" s="113"/>
      <c r="S35" s="113"/>
      <c r="T35" s="113"/>
      <c r="U35" s="113"/>
      <c r="V35" s="113"/>
      <c r="W35" s="113"/>
      <c r="X35" s="113"/>
      <c r="Y35" s="113"/>
      <c r="Z35" s="113"/>
      <c r="AA35" s="113"/>
      <c r="AB35" s="119"/>
      <c r="AC35" s="112"/>
      <c r="AD35" s="118"/>
      <c r="AE35" s="113"/>
      <c r="AF35" s="113"/>
      <c r="AG35" s="113"/>
      <c r="AH35" s="113"/>
      <c r="AI35" s="113"/>
      <c r="AJ35" s="113"/>
      <c r="AK35" s="113"/>
      <c r="AL35" s="113"/>
      <c r="AM35" s="113"/>
      <c r="AN35" s="113"/>
      <c r="AO35" s="113"/>
      <c r="AP35" s="113"/>
      <c r="AQ35" s="119"/>
    </row>
    <row r="36" spans="1:43" ht="15" customHeight="1" outlineLevel="1">
      <c r="A36" s="118"/>
      <c r="B36" s="113"/>
      <c r="C36" s="113"/>
      <c r="D36" s="113"/>
      <c r="E36" s="113"/>
      <c r="F36" s="113"/>
      <c r="G36" s="113"/>
      <c r="H36" s="113"/>
      <c r="I36" s="113"/>
      <c r="J36" s="113"/>
      <c r="K36" s="113"/>
      <c r="L36" s="113"/>
      <c r="M36" s="113"/>
      <c r="N36" s="119"/>
      <c r="O36" s="112"/>
      <c r="P36" s="118"/>
      <c r="Q36" s="113"/>
      <c r="R36" s="113"/>
      <c r="S36" s="113"/>
      <c r="T36" s="113"/>
      <c r="U36" s="113"/>
      <c r="V36" s="113"/>
      <c r="W36" s="113"/>
      <c r="X36" s="113"/>
      <c r="Y36" s="113"/>
      <c r="Z36" s="113"/>
      <c r="AA36" s="113"/>
      <c r="AB36" s="119"/>
      <c r="AC36" s="112"/>
      <c r="AD36" s="118"/>
      <c r="AE36" s="113"/>
      <c r="AF36" s="113"/>
      <c r="AG36" s="113"/>
      <c r="AH36" s="113"/>
      <c r="AI36" s="113"/>
      <c r="AJ36" s="113"/>
      <c r="AK36" s="113"/>
      <c r="AL36" s="113"/>
      <c r="AM36" s="113"/>
      <c r="AN36" s="113"/>
      <c r="AO36" s="113"/>
      <c r="AP36" s="113"/>
      <c r="AQ36" s="119"/>
    </row>
    <row r="37" spans="1:43" ht="15" customHeight="1" outlineLevel="1">
      <c r="A37" s="118"/>
      <c r="B37" s="113"/>
      <c r="C37" s="113"/>
      <c r="D37" s="113"/>
      <c r="E37" s="113"/>
      <c r="F37" s="113"/>
      <c r="G37" s="113"/>
      <c r="H37" s="113"/>
      <c r="I37" s="113"/>
      <c r="J37" s="113"/>
      <c r="K37" s="113"/>
      <c r="L37" s="113"/>
      <c r="M37" s="113"/>
      <c r="N37" s="119"/>
      <c r="O37" s="112"/>
      <c r="P37" s="118"/>
      <c r="Q37" s="113"/>
      <c r="R37" s="113"/>
      <c r="S37" s="113"/>
      <c r="T37" s="113"/>
      <c r="U37" s="113"/>
      <c r="V37" s="113"/>
      <c r="W37" s="113"/>
      <c r="X37" s="113"/>
      <c r="Y37" s="113"/>
      <c r="Z37" s="113"/>
      <c r="AA37" s="113"/>
      <c r="AB37" s="119"/>
      <c r="AC37" s="112"/>
      <c r="AD37" s="118"/>
      <c r="AE37" s="113"/>
      <c r="AF37" s="113"/>
      <c r="AG37" s="113"/>
      <c r="AH37" s="113"/>
      <c r="AI37" s="113"/>
      <c r="AJ37" s="113"/>
      <c r="AK37" s="113"/>
      <c r="AL37" s="113"/>
      <c r="AM37" s="113"/>
      <c r="AN37" s="113"/>
      <c r="AO37" s="113"/>
      <c r="AP37" s="113"/>
      <c r="AQ37" s="119"/>
    </row>
    <row r="38" spans="1:43" ht="15" customHeight="1" outlineLevel="1">
      <c r="A38" s="118"/>
      <c r="B38" s="113"/>
      <c r="C38" s="113"/>
      <c r="D38" s="113"/>
      <c r="E38" s="113"/>
      <c r="F38" s="113"/>
      <c r="G38" s="113"/>
      <c r="H38" s="113"/>
      <c r="I38" s="113"/>
      <c r="J38" s="113"/>
      <c r="K38" s="113"/>
      <c r="L38" s="113"/>
      <c r="M38" s="113"/>
      <c r="N38" s="119"/>
      <c r="O38" s="112"/>
      <c r="P38" s="118"/>
      <c r="Q38" s="113"/>
      <c r="R38" s="113"/>
      <c r="S38" s="113"/>
      <c r="T38" s="113"/>
      <c r="U38" s="113"/>
      <c r="V38" s="113"/>
      <c r="W38" s="113"/>
      <c r="X38" s="113"/>
      <c r="Y38" s="113"/>
      <c r="Z38" s="113"/>
      <c r="AA38" s="113"/>
      <c r="AB38" s="119"/>
      <c r="AC38" s="112"/>
      <c r="AD38" s="118"/>
      <c r="AE38" s="113"/>
      <c r="AF38" s="113"/>
      <c r="AG38" s="113"/>
      <c r="AH38" s="113"/>
      <c r="AI38" s="113"/>
      <c r="AJ38" s="113"/>
      <c r="AK38" s="113"/>
      <c r="AL38" s="113"/>
      <c r="AM38" s="113"/>
      <c r="AN38" s="113"/>
      <c r="AO38" s="113"/>
      <c r="AP38" s="113"/>
      <c r="AQ38" s="119"/>
    </row>
    <row r="39" spans="1:43" ht="15" customHeight="1" outlineLevel="1">
      <c r="A39" s="118"/>
      <c r="B39" s="113"/>
      <c r="C39" s="113"/>
      <c r="D39" s="113"/>
      <c r="E39" s="113"/>
      <c r="F39" s="113"/>
      <c r="G39" s="113"/>
      <c r="H39" s="113"/>
      <c r="I39" s="113"/>
      <c r="J39" s="113"/>
      <c r="K39" s="113"/>
      <c r="L39" s="113"/>
      <c r="M39" s="113"/>
      <c r="N39" s="119"/>
      <c r="O39" s="112"/>
      <c r="P39" s="118"/>
      <c r="Q39" s="113"/>
      <c r="R39" s="113"/>
      <c r="S39" s="113"/>
      <c r="T39" s="113"/>
      <c r="U39" s="113"/>
      <c r="V39" s="113"/>
      <c r="W39" s="113"/>
      <c r="X39" s="113"/>
      <c r="Y39" s="113"/>
      <c r="Z39" s="113"/>
      <c r="AA39" s="113"/>
      <c r="AB39" s="119"/>
      <c r="AC39" s="112"/>
      <c r="AD39" s="118"/>
      <c r="AE39" s="113"/>
      <c r="AF39" s="113"/>
      <c r="AG39" s="113"/>
      <c r="AH39" s="113"/>
      <c r="AI39" s="113"/>
      <c r="AJ39" s="113"/>
      <c r="AK39" s="113"/>
      <c r="AL39" s="113"/>
      <c r="AM39" s="113"/>
      <c r="AN39" s="113"/>
      <c r="AO39" s="113"/>
      <c r="AP39" s="113"/>
      <c r="AQ39" s="119"/>
    </row>
    <row r="40" spans="1:43" ht="15" customHeight="1" outlineLevel="1">
      <c r="A40" s="118"/>
      <c r="B40" s="113"/>
      <c r="C40" s="113"/>
      <c r="D40" s="113"/>
      <c r="E40" s="113"/>
      <c r="F40" s="113"/>
      <c r="G40" s="113"/>
      <c r="H40" s="113"/>
      <c r="I40" s="113"/>
      <c r="J40" s="113"/>
      <c r="K40" s="113"/>
      <c r="L40" s="113"/>
      <c r="M40" s="113"/>
      <c r="N40" s="119"/>
      <c r="O40" s="112"/>
      <c r="P40" s="118"/>
      <c r="Q40" s="113"/>
      <c r="R40" s="113"/>
      <c r="S40" s="113"/>
      <c r="T40" s="113"/>
      <c r="U40" s="113"/>
      <c r="V40" s="113"/>
      <c r="W40" s="113"/>
      <c r="X40" s="113"/>
      <c r="Y40" s="113"/>
      <c r="Z40" s="113"/>
      <c r="AA40" s="113"/>
      <c r="AB40" s="119"/>
      <c r="AC40" s="112"/>
      <c r="AD40" s="118"/>
      <c r="AE40" s="113"/>
      <c r="AF40" s="113"/>
      <c r="AG40" s="113"/>
      <c r="AH40" s="113"/>
      <c r="AI40" s="113"/>
      <c r="AJ40" s="113"/>
      <c r="AK40" s="113"/>
      <c r="AL40" s="113"/>
      <c r="AM40" s="113"/>
      <c r="AN40" s="113"/>
      <c r="AO40" s="113"/>
      <c r="AP40" s="113"/>
      <c r="AQ40" s="119"/>
    </row>
    <row r="41" spans="1:43" ht="15" customHeight="1" outlineLevel="1">
      <c r="A41" s="118"/>
      <c r="B41" s="113"/>
      <c r="C41" s="113"/>
      <c r="D41" s="113"/>
      <c r="E41" s="113"/>
      <c r="F41" s="113"/>
      <c r="G41" s="113"/>
      <c r="H41" s="113"/>
      <c r="I41" s="113"/>
      <c r="J41" s="113"/>
      <c r="K41" s="113"/>
      <c r="L41" s="113"/>
      <c r="M41" s="113"/>
      <c r="N41" s="119"/>
      <c r="O41" s="112"/>
      <c r="P41" s="118"/>
      <c r="Q41" s="113"/>
      <c r="R41" s="113"/>
      <c r="S41" s="113"/>
      <c r="T41" s="113"/>
      <c r="U41" s="113"/>
      <c r="V41" s="113"/>
      <c r="W41" s="113"/>
      <c r="X41" s="113"/>
      <c r="Y41" s="113"/>
      <c r="Z41" s="113"/>
      <c r="AA41" s="113"/>
      <c r="AB41" s="119"/>
      <c r="AC41" s="112"/>
      <c r="AD41" s="118"/>
      <c r="AE41" s="113"/>
      <c r="AF41" s="113"/>
      <c r="AG41" s="113"/>
      <c r="AH41" s="113"/>
      <c r="AI41" s="113"/>
      <c r="AJ41" s="113"/>
      <c r="AK41" s="113"/>
      <c r="AL41" s="113"/>
      <c r="AM41" s="113"/>
      <c r="AN41" s="113"/>
      <c r="AO41" s="113"/>
      <c r="AP41" s="113"/>
      <c r="AQ41" s="119"/>
    </row>
    <row r="42" spans="1:43" ht="15" customHeight="1" outlineLevel="1">
      <c r="A42" s="118"/>
      <c r="B42" s="113"/>
      <c r="C42" s="113"/>
      <c r="D42" s="113"/>
      <c r="E42" s="113"/>
      <c r="F42" s="113"/>
      <c r="G42" s="113"/>
      <c r="H42" s="113"/>
      <c r="I42" s="113"/>
      <c r="J42" s="113"/>
      <c r="K42" s="113"/>
      <c r="L42" s="113"/>
      <c r="M42" s="113"/>
      <c r="N42" s="119"/>
      <c r="O42" s="112"/>
      <c r="P42" s="118"/>
      <c r="Q42" s="113"/>
      <c r="R42" s="113"/>
      <c r="S42" s="113"/>
      <c r="T42" s="113"/>
      <c r="U42" s="113"/>
      <c r="V42" s="113"/>
      <c r="W42" s="113"/>
      <c r="X42" s="113"/>
      <c r="Y42" s="113"/>
      <c r="Z42" s="113"/>
      <c r="AA42" s="113"/>
      <c r="AB42" s="119"/>
      <c r="AC42" s="112"/>
      <c r="AD42" s="118"/>
      <c r="AE42" s="113"/>
      <c r="AF42" s="113"/>
      <c r="AG42" s="113"/>
      <c r="AH42" s="113"/>
      <c r="AI42" s="113"/>
      <c r="AJ42" s="113"/>
      <c r="AK42" s="113"/>
      <c r="AL42" s="113"/>
      <c r="AM42" s="113"/>
      <c r="AN42" s="113"/>
      <c r="AO42" s="113"/>
      <c r="AP42" s="113"/>
      <c r="AQ42" s="119"/>
    </row>
    <row r="43" spans="1:43" ht="15" customHeight="1" outlineLevel="1">
      <c r="A43" s="118"/>
      <c r="B43" s="113"/>
      <c r="C43" s="113"/>
      <c r="D43" s="113"/>
      <c r="E43" s="113"/>
      <c r="F43" s="113"/>
      <c r="G43" s="113"/>
      <c r="H43" s="113"/>
      <c r="I43" s="113"/>
      <c r="J43" s="113"/>
      <c r="K43" s="113"/>
      <c r="L43" s="113"/>
      <c r="M43" s="113"/>
      <c r="N43" s="119"/>
      <c r="O43" s="112"/>
      <c r="P43" s="118"/>
      <c r="Q43" s="113"/>
      <c r="R43" s="113"/>
      <c r="S43" s="113"/>
      <c r="T43" s="113"/>
      <c r="U43" s="113"/>
      <c r="V43" s="113"/>
      <c r="W43" s="113"/>
      <c r="X43" s="113"/>
      <c r="Y43" s="113"/>
      <c r="Z43" s="113"/>
      <c r="AA43" s="113"/>
      <c r="AB43" s="119"/>
      <c r="AC43" s="112"/>
      <c r="AD43" s="118"/>
      <c r="AE43" s="113"/>
      <c r="AF43" s="113"/>
      <c r="AG43" s="113"/>
      <c r="AH43" s="113"/>
      <c r="AI43" s="113"/>
      <c r="AJ43" s="113"/>
      <c r="AK43" s="113"/>
      <c r="AL43" s="113"/>
      <c r="AM43" s="113"/>
      <c r="AN43" s="113"/>
      <c r="AO43" s="113"/>
      <c r="AP43" s="113"/>
      <c r="AQ43" s="119"/>
    </row>
    <row r="44" spans="1:43" ht="15" customHeight="1" outlineLevel="1">
      <c r="A44" s="118"/>
      <c r="B44" s="113"/>
      <c r="C44" s="113"/>
      <c r="D44" s="113"/>
      <c r="E44" s="113"/>
      <c r="F44" s="113"/>
      <c r="G44" s="113"/>
      <c r="H44" s="113"/>
      <c r="I44" s="113"/>
      <c r="J44" s="113"/>
      <c r="K44" s="113"/>
      <c r="L44" s="113"/>
      <c r="M44" s="113"/>
      <c r="N44" s="119"/>
      <c r="O44" s="112"/>
      <c r="P44" s="118"/>
      <c r="Q44" s="113"/>
      <c r="R44" s="113"/>
      <c r="S44" s="113"/>
      <c r="T44" s="113"/>
      <c r="U44" s="113"/>
      <c r="V44" s="113"/>
      <c r="W44" s="113"/>
      <c r="X44" s="113"/>
      <c r="Y44" s="113"/>
      <c r="Z44" s="113"/>
      <c r="AA44" s="113"/>
      <c r="AB44" s="119"/>
      <c r="AC44" s="112"/>
      <c r="AD44" s="118"/>
      <c r="AE44" s="113"/>
      <c r="AF44" s="113"/>
      <c r="AG44" s="113"/>
      <c r="AH44" s="113"/>
      <c r="AI44" s="113"/>
      <c r="AJ44" s="113"/>
      <c r="AK44" s="113"/>
      <c r="AL44" s="113"/>
      <c r="AM44" s="113"/>
      <c r="AN44" s="113"/>
      <c r="AO44" s="113"/>
      <c r="AP44" s="113"/>
      <c r="AQ44" s="119"/>
    </row>
    <row r="45" spans="1:43" ht="15" customHeight="1" outlineLevel="1">
      <c r="A45" s="118"/>
      <c r="B45" s="113"/>
      <c r="C45" s="113"/>
      <c r="D45" s="113"/>
      <c r="E45" s="113"/>
      <c r="F45" s="113"/>
      <c r="G45" s="113"/>
      <c r="H45" s="113"/>
      <c r="I45" s="113"/>
      <c r="J45" s="113"/>
      <c r="K45" s="113"/>
      <c r="L45" s="113"/>
      <c r="M45" s="113"/>
      <c r="N45" s="119"/>
      <c r="O45" s="112"/>
      <c r="P45" s="118"/>
      <c r="Q45" s="113"/>
      <c r="R45" s="113"/>
      <c r="S45" s="113"/>
      <c r="T45" s="113"/>
      <c r="U45" s="113"/>
      <c r="V45" s="113"/>
      <c r="W45" s="113"/>
      <c r="X45" s="113"/>
      <c r="Y45" s="113"/>
      <c r="Z45" s="113"/>
      <c r="AA45" s="113"/>
      <c r="AB45" s="119"/>
      <c r="AC45" s="112"/>
      <c r="AD45" s="118"/>
      <c r="AE45" s="113"/>
      <c r="AF45" s="113"/>
      <c r="AG45" s="113"/>
      <c r="AH45" s="113"/>
      <c r="AI45" s="113"/>
      <c r="AJ45" s="113"/>
      <c r="AK45" s="113"/>
      <c r="AL45" s="113"/>
      <c r="AM45" s="113"/>
      <c r="AN45" s="113"/>
      <c r="AO45" s="113"/>
      <c r="AP45" s="113"/>
      <c r="AQ45" s="119"/>
    </row>
    <row r="46" spans="1:43" ht="15" customHeight="1" outlineLevel="1">
      <c r="A46" s="118"/>
      <c r="B46" s="113"/>
      <c r="C46" s="113"/>
      <c r="D46" s="113"/>
      <c r="E46" s="113"/>
      <c r="F46" s="113"/>
      <c r="G46" s="113"/>
      <c r="H46" s="113"/>
      <c r="I46" s="113"/>
      <c r="J46" s="113"/>
      <c r="K46" s="113"/>
      <c r="L46" s="113"/>
      <c r="M46" s="113"/>
      <c r="N46" s="119"/>
      <c r="O46" s="112"/>
      <c r="P46" s="118"/>
      <c r="Q46" s="113"/>
      <c r="R46" s="113"/>
      <c r="S46" s="113"/>
      <c r="T46" s="113"/>
      <c r="U46" s="113"/>
      <c r="V46" s="113"/>
      <c r="W46" s="113"/>
      <c r="X46" s="113"/>
      <c r="Y46" s="113"/>
      <c r="Z46" s="113"/>
      <c r="AA46" s="113"/>
      <c r="AB46" s="119"/>
      <c r="AC46" s="112"/>
      <c r="AD46" s="118"/>
      <c r="AE46" s="113"/>
      <c r="AF46" s="113"/>
      <c r="AG46" s="113"/>
      <c r="AH46" s="113"/>
      <c r="AI46" s="113"/>
      <c r="AJ46" s="113"/>
      <c r="AK46" s="113"/>
      <c r="AL46" s="113"/>
      <c r="AM46" s="113"/>
      <c r="AN46" s="113"/>
      <c r="AO46" s="113"/>
      <c r="AP46" s="113"/>
      <c r="AQ46" s="119"/>
    </row>
    <row r="47" spans="1:43" ht="15" customHeight="1" outlineLevel="1">
      <c r="A47" s="122"/>
      <c r="B47" s="120"/>
      <c r="C47" s="120"/>
      <c r="D47" s="120"/>
      <c r="E47" s="120"/>
      <c r="F47" s="120"/>
      <c r="G47" s="120"/>
      <c r="H47" s="120"/>
      <c r="I47" s="120"/>
      <c r="J47" s="120"/>
      <c r="K47" s="120"/>
      <c r="L47" s="120"/>
      <c r="M47" s="120"/>
      <c r="N47" s="121"/>
      <c r="O47" s="112"/>
      <c r="P47" s="122"/>
      <c r="Q47" s="120"/>
      <c r="R47" s="120"/>
      <c r="S47" s="120"/>
      <c r="T47" s="120"/>
      <c r="U47" s="120"/>
      <c r="V47" s="120"/>
      <c r="W47" s="120"/>
      <c r="X47" s="120"/>
      <c r="Y47" s="120"/>
      <c r="Z47" s="120"/>
      <c r="AA47" s="120"/>
      <c r="AB47" s="121"/>
      <c r="AC47" s="112"/>
      <c r="AD47" s="122"/>
      <c r="AE47" s="120"/>
      <c r="AF47" s="120"/>
      <c r="AG47" s="120"/>
      <c r="AH47" s="120"/>
      <c r="AI47" s="120"/>
      <c r="AJ47" s="120"/>
      <c r="AK47" s="120"/>
      <c r="AL47" s="120"/>
      <c r="AM47" s="120"/>
      <c r="AN47" s="120"/>
      <c r="AO47" s="120"/>
      <c r="AP47" s="120"/>
      <c r="AQ47" s="121"/>
    </row>
    <row r="48" spans="1:43" ht="15" customHeight="1" outlineLevel="1">
      <c r="A48" s="112"/>
      <c r="B48" s="112"/>
      <c r="C48" s="112"/>
      <c r="D48" s="112"/>
      <c r="E48" s="112"/>
      <c r="F48" s="112"/>
      <c r="G48" s="112"/>
      <c r="H48" s="112"/>
      <c r="I48" s="112"/>
      <c r="J48" s="112"/>
      <c r="K48" s="116"/>
      <c r="L48" s="117"/>
      <c r="M48" s="117"/>
      <c r="N48" s="152" t="s">
        <v>263</v>
      </c>
      <c r="O48" s="112"/>
      <c r="P48" s="112"/>
      <c r="Q48" s="112"/>
      <c r="R48" s="112"/>
      <c r="S48" s="112"/>
      <c r="T48" s="112"/>
      <c r="U48" s="112"/>
      <c r="V48" s="112"/>
      <c r="W48" s="112"/>
      <c r="X48" s="112"/>
      <c r="Y48" s="116"/>
      <c r="Z48" s="117"/>
      <c r="AA48" s="117"/>
      <c r="AB48" s="152" t="s">
        <v>263</v>
      </c>
      <c r="AC48" s="112"/>
      <c r="AD48" s="112"/>
      <c r="AE48" s="112"/>
      <c r="AF48" s="112"/>
      <c r="AG48" s="112"/>
      <c r="AH48" s="112"/>
      <c r="AI48" s="112"/>
      <c r="AJ48" s="112"/>
      <c r="AK48" s="112"/>
      <c r="AL48" s="112"/>
      <c r="AM48" s="112"/>
      <c r="AN48" s="112"/>
      <c r="AO48" s="112"/>
      <c r="AP48" s="112"/>
      <c r="AQ48" s="152" t="s">
        <v>263</v>
      </c>
    </row>
    <row r="49" spans="1:43" ht="15" customHeight="1" outlineLevel="1"/>
    <row r="50" spans="1:43" s="149" customFormat="1" ht="15" customHeight="1" outlineLevel="1">
      <c r="A50" s="181" t="s">
        <v>192</v>
      </c>
      <c r="B50" s="153"/>
      <c r="C50" s="153"/>
      <c r="D50" s="153"/>
      <c r="E50" s="153"/>
      <c r="F50" s="153"/>
      <c r="G50" s="153"/>
      <c r="H50" s="153"/>
      <c r="I50" s="153"/>
      <c r="J50" s="153"/>
      <c r="K50" s="153"/>
      <c r="L50" s="153"/>
      <c r="M50" s="153"/>
      <c r="N50" s="154"/>
      <c r="O50" s="153"/>
      <c r="Q50" s="153"/>
      <c r="R50" s="153"/>
      <c r="S50" s="153"/>
      <c r="T50" s="153"/>
      <c r="U50" s="153"/>
      <c r="V50" s="153"/>
      <c r="W50" s="153"/>
      <c r="X50" s="153"/>
      <c r="Y50" s="154"/>
      <c r="Z50" s="153"/>
      <c r="AA50" s="153"/>
      <c r="AB50" s="153"/>
      <c r="AC50" s="153"/>
      <c r="AD50" s="153"/>
      <c r="AE50" s="153"/>
      <c r="AF50" s="153"/>
      <c r="AG50" s="153"/>
      <c r="AK50" s="154"/>
    </row>
    <row r="51" spans="1:43" ht="15" customHeight="1" outlineLevel="1">
      <c r="A51" s="207" t="str">
        <f>HLOOKUP("Disclaimer",Caracteristik!$1:$2,2,FALSE)</f>
        <v>This is a non-contractual document provided for information only. This document is intended solely for unitholders or shareholders in the Fund. The information contained in this document is of no contractual value. Only the Fund’s full prospectus and latest financial statements shall be deemed legally binding. Past performance is no guarantee of future performance and is not constant over time. Stated performance includes all fees with the exception of subscription and redemption fees. Investors in this fund are exposed to risks associated with changes in the value of units or shares in the Fund arising from market fluctuations. As such, the value of an investment may rise or fall, and investors may consequently lose some or all of their initial investment. This document is provided for information purposes only and is not intended to be either legally binding or contractual in nature. The investor acknowledges having received a copy of the prospectus filed with the AMF prior to investing. In spite of the care taken in preparing this document, the management company cannot guarantee that the information it contains is accurate, complete and up to date. The company may not be held liable for any losses incurred by investors who base their investment decisions solely on this document. The information in this document may not be reproduced in full or in part without the prior consent of its author. All requests for further information about the Fund should be directed to Ofi Invest Asset Management, 22 rue Vernier, 75017 Paris, France.</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row>
    <row r="52" spans="1:43" ht="15" customHeight="1" outlineLevel="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row>
    <row r="53" spans="1:43" s="129" customFormat="1" ht="15" customHeight="1" outlineLevel="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row>
    <row r="54" spans="1:43" ht="15" customHeight="1" outlineLevel="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row>
    <row r="55" spans="1:43" ht="15" customHeight="1" outlineLevel="1">
      <c r="A55" s="284" t="str">
        <f>HLOOKUP("contact",Caracteristik!$1:$2,2,FALSE)</f>
        <v>CONTACT • Sales Department • 01 40 68 17 17 • contact.clients.am@ofi-invest.com</v>
      </c>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row>
    <row r="56" spans="1:43" s="175" customFormat="1" ht="15" customHeight="1" outlineLevel="1">
      <c r="A56" s="285"/>
      <c r="B56" s="285"/>
      <c r="C56" s="285"/>
      <c r="D56" s="285"/>
      <c r="E56" s="285"/>
      <c r="F56" s="286" t="str">
        <f>HLOOKUP("adresse",Caracteristik!$1:$2,2,FALSE)</f>
        <v>Ofi Invest Asset Management •  A portfolio management company authorised by the AMF under number GP 92-12 • Intracommunity VAT no.: FR 51384940342 • 
Principal activity (APE) code 6630Z • 22 rue Vernier 75017 Paris • Tel.: + 33 (0)1 40 68 17 17 • Fax: + 33 (0)1 40 68 17 18 • www.ofi-invest-am.com</v>
      </c>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05" t="s">
        <v>260</v>
      </c>
      <c r="AN56" s="205"/>
      <c r="AO56" s="205"/>
      <c r="AP56" s="205"/>
      <c r="AQ56" s="205"/>
    </row>
    <row r="57" spans="1:43" s="175" customFormat="1" ht="15" customHeight="1" outlineLevel="1">
      <c r="A57" s="285"/>
      <c r="B57" s="285"/>
      <c r="C57" s="285"/>
      <c r="D57" s="285"/>
      <c r="E57" s="285"/>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05"/>
      <c r="AN57" s="205"/>
      <c r="AO57" s="205"/>
      <c r="AP57" s="205"/>
      <c r="AQ57" s="205"/>
    </row>
    <row r="58" spans="1:43" s="175" customFormat="1" ht="15" customHeight="1" outlineLevel="1">
      <c r="A58" s="285"/>
      <c r="B58" s="285"/>
      <c r="C58" s="285"/>
      <c r="D58" s="285"/>
      <c r="E58" s="285"/>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05"/>
      <c r="AN58" s="205"/>
      <c r="AO58" s="205"/>
      <c r="AP58" s="205"/>
      <c r="AQ58" s="205"/>
    </row>
    <row r="59" spans="1:43" s="175" customFormat="1" ht="15" customHeight="1" outlineLevel="1">
      <c r="A59" s="285"/>
      <c r="B59" s="285"/>
      <c r="C59" s="285"/>
      <c r="D59" s="285"/>
      <c r="E59" s="285"/>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05"/>
      <c r="AN59" s="205"/>
      <c r="AO59" s="205"/>
      <c r="AP59" s="205"/>
      <c r="AQ59" s="205"/>
    </row>
  </sheetData>
  <mergeCells count="12">
    <mergeCell ref="A56:E59"/>
    <mergeCell ref="F56:AL59"/>
    <mergeCell ref="AM56:AQ59"/>
    <mergeCell ref="W7:AQ7"/>
    <mergeCell ref="A7:U7"/>
    <mergeCell ref="A51:AQ54"/>
    <mergeCell ref="A55:AQ55"/>
    <mergeCell ref="A1:AG3"/>
    <mergeCell ref="A4:AG5"/>
    <mergeCell ref="AD32:AQ32"/>
    <mergeCell ref="A32:N32"/>
    <mergeCell ref="P32:AB32"/>
  </mergeCells>
  <hyperlinks>
    <hyperlink ref="AM56:AQ59" r:id="rId1" display="https://twitter.com/OfiInvestAM_Int"/>
  </hyperlinks>
  <printOptions horizontalCentered="1" verticalCentered="1"/>
  <pageMargins left="0.19685039370078741" right="0.19685039370078741" top="0.19685039370078741" bottom="0.19685039370078741" header="0" footer="0"/>
  <pageSetup paperSize="9" scale="6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outlinePr showOutlineSymbols="0"/>
  </sheetPr>
  <dimension ref="A1:AN162"/>
  <sheetViews>
    <sheetView showGridLines="0" showOutlineSymbols="0" zoomScale="55" zoomScaleNormal="55" workbookViewId="0"/>
  </sheetViews>
  <sheetFormatPr baseColWidth="10" defaultRowHeight="15" outlineLevelRow="1"/>
  <cols>
    <col min="1" max="1" width="19" customWidth="1"/>
    <col min="2" max="2" width="11" style="92" customWidth="1"/>
    <col min="3" max="3" width="14.28515625" style="95" customWidth="1"/>
    <col min="4" max="4" width="25.85546875" style="95" bestFit="1" customWidth="1"/>
    <col min="5" max="5" width="18.85546875" customWidth="1"/>
    <col min="7" max="7" width="30" customWidth="1"/>
    <col min="8" max="8" width="17" customWidth="1"/>
    <col min="9" max="9" width="17" style="129" customWidth="1"/>
    <col min="10" max="10" width="24.7109375" customWidth="1"/>
    <col min="11" max="11" width="15.28515625" customWidth="1"/>
    <col min="12" max="12" width="15.28515625" style="92" customWidth="1"/>
    <col min="13" max="13" width="15.28515625" style="129" customWidth="1"/>
    <col min="14" max="14" width="17" customWidth="1"/>
    <col min="15" max="15" width="17.5703125" style="123" customWidth="1"/>
    <col min="16" max="16" width="17" style="123" customWidth="1"/>
    <col min="17" max="17" width="17.5703125" style="129" customWidth="1"/>
    <col min="18" max="18" width="17" customWidth="1"/>
    <col min="19" max="19" width="18.140625" customWidth="1"/>
    <col min="20" max="20" width="13.28515625" customWidth="1"/>
    <col min="21" max="21" width="12.28515625" customWidth="1"/>
    <col min="22" max="22" width="12.28515625" style="129" customWidth="1"/>
    <col min="23" max="23" width="10.7109375" customWidth="1"/>
    <col min="24" max="24" width="10.7109375" style="123" customWidth="1"/>
    <col min="25" max="26" width="17.5703125" style="123" customWidth="1"/>
    <col min="27" max="27" width="17" style="129" customWidth="1"/>
    <col min="28" max="28" width="10.7109375" style="123" customWidth="1"/>
    <col min="29" max="29" width="8.85546875" style="123" customWidth="1"/>
    <col min="30" max="30" width="17.5703125" style="123" customWidth="1"/>
    <col min="31" max="31" width="17" style="129" customWidth="1"/>
    <col min="33" max="33" width="38.140625" customWidth="1"/>
    <col min="34" max="34" width="53.28515625" customWidth="1"/>
    <col min="35" max="35" width="8.85546875" customWidth="1"/>
    <col min="36" max="36" width="17" customWidth="1"/>
    <col min="39" max="39" width="56" customWidth="1"/>
    <col min="40" max="40" width="17" customWidth="1"/>
  </cols>
  <sheetData>
    <row r="1" spans="1:40" outlineLevel="1">
      <c r="A1" s="132" t="s">
        <v>9</v>
      </c>
      <c r="B1" s="132"/>
      <c r="C1" s="130"/>
      <c r="D1" s="370" t="s">
        <v>22</v>
      </c>
      <c r="E1" s="370"/>
      <c r="G1" s="370" t="s">
        <v>31</v>
      </c>
      <c r="H1" s="370"/>
      <c r="I1"/>
      <c r="K1" s="370" t="s">
        <v>32</v>
      </c>
      <c r="L1" s="370"/>
      <c r="M1"/>
      <c r="N1" s="53"/>
      <c r="Q1" s="370" t="s">
        <v>35</v>
      </c>
      <c r="R1" s="370"/>
      <c r="S1" s="130"/>
      <c r="T1" s="130"/>
      <c r="U1" s="130"/>
      <c r="V1" s="130"/>
      <c r="W1" s="130"/>
      <c r="X1" s="130"/>
      <c r="Y1" s="130"/>
      <c r="Z1" s="130"/>
      <c r="AA1" s="204" t="s">
        <v>36</v>
      </c>
      <c r="AB1" s="204"/>
      <c r="AI1" s="198" t="s">
        <v>30</v>
      </c>
      <c r="AJ1" s="198"/>
      <c r="AK1" s="198"/>
      <c r="AL1" s="130"/>
      <c r="AM1" s="198" t="s">
        <v>208</v>
      </c>
    </row>
    <row r="2" spans="1:40" outlineLevel="1">
      <c r="C2" s="53"/>
      <c r="D2"/>
      <c r="I2"/>
      <c r="M2"/>
      <c r="Q2"/>
      <c r="X2"/>
      <c r="Y2"/>
      <c r="Z2"/>
      <c r="AA2"/>
      <c r="AB2"/>
      <c r="AC2"/>
      <c r="AD2"/>
      <c r="AE2"/>
    </row>
    <row r="3" spans="1:40" outlineLevel="1">
      <c r="B3"/>
      <c r="D3" s="371">
        <f>IFERROR(VALUE(HLOOKUP("SRRI",Caracteristik!$1:$2,2,FALSE)),"Pas de SRRI")</f>
        <v>4</v>
      </c>
      <c r="E3" s="372"/>
      <c r="G3" s="100" t="s">
        <v>286</v>
      </c>
      <c r="H3" s="99"/>
      <c r="I3"/>
      <c r="M3" s="100" t="s">
        <v>286</v>
      </c>
      <c r="N3" s="99"/>
      <c r="P3" s="130"/>
      <c r="Q3" s="100" t="s">
        <v>286</v>
      </c>
      <c r="R3" s="99"/>
      <c r="S3" s="99"/>
      <c r="X3"/>
      <c r="AA3" s="130"/>
      <c r="AB3"/>
      <c r="AD3" s="100" t="s">
        <v>286</v>
      </c>
      <c r="AE3" s="99"/>
      <c r="AI3" s="100" t="s">
        <v>286</v>
      </c>
      <c r="AJ3" s="99"/>
      <c r="AM3" s="100" t="s">
        <v>286</v>
      </c>
      <c r="AN3" s="99"/>
    </row>
    <row r="4" spans="1:40" outlineLevel="1">
      <c r="B4"/>
      <c r="C4"/>
      <c r="D4"/>
      <c r="G4" s="389" t="s">
        <v>285</v>
      </c>
      <c r="H4" s="388"/>
      <c r="I4"/>
      <c r="L4"/>
      <c r="M4" s="389" t="s">
        <v>308</v>
      </c>
      <c r="N4" s="388"/>
      <c r="O4" s="130"/>
      <c r="P4" s="130"/>
      <c r="Q4" s="389" t="s">
        <v>311</v>
      </c>
      <c r="R4" s="388"/>
      <c r="S4" s="388"/>
      <c r="X4"/>
      <c r="Z4" s="130"/>
      <c r="AA4" s="130"/>
      <c r="AB4"/>
      <c r="AD4" s="389" t="s">
        <v>318</v>
      </c>
      <c r="AE4" s="388"/>
      <c r="AH4" s="130"/>
      <c r="AI4" s="389" t="s">
        <v>321</v>
      </c>
      <c r="AJ4" s="388"/>
      <c r="AM4" s="389" t="s">
        <v>489</v>
      </c>
      <c r="AN4" s="388"/>
    </row>
    <row r="5" spans="1:40" outlineLevel="1">
      <c r="B5"/>
      <c r="G5" s="387" t="s">
        <v>284</v>
      </c>
      <c r="H5" s="387" t="s">
        <v>283</v>
      </c>
      <c r="I5"/>
      <c r="L5"/>
      <c r="M5" s="170" t="s">
        <v>40</v>
      </c>
      <c r="N5" s="175"/>
      <c r="O5" s="130"/>
      <c r="P5" s="130"/>
      <c r="Q5" s="170" t="s">
        <v>40</v>
      </c>
      <c r="R5" s="175"/>
      <c r="S5" s="175"/>
      <c r="X5"/>
      <c r="Z5" s="130"/>
      <c r="AA5" s="130"/>
      <c r="AB5"/>
      <c r="AD5" s="170" t="s">
        <v>40</v>
      </c>
      <c r="AE5" s="175"/>
      <c r="AH5" s="130"/>
      <c r="AI5" s="170" t="s">
        <v>40</v>
      </c>
      <c r="AJ5" s="175"/>
      <c r="AM5" s="170" t="s">
        <v>40</v>
      </c>
      <c r="AN5" s="175"/>
    </row>
    <row r="6" spans="1:40" outlineLevel="1">
      <c r="B6"/>
      <c r="G6" s="170" t="s">
        <v>40</v>
      </c>
      <c r="H6" s="386">
        <v>-0.15222859999999999</v>
      </c>
      <c r="I6"/>
      <c r="L6"/>
      <c r="M6" s="387" t="s">
        <v>307</v>
      </c>
      <c r="N6" s="387" t="s">
        <v>283</v>
      </c>
      <c r="O6" s="130"/>
      <c r="P6" s="130"/>
      <c r="Q6" s="387" t="s">
        <v>310</v>
      </c>
      <c r="R6" s="387" t="s">
        <v>283</v>
      </c>
      <c r="S6" s="387" t="s">
        <v>309</v>
      </c>
      <c r="Z6" s="130"/>
      <c r="AA6" s="130"/>
      <c r="AD6" s="387" t="s">
        <v>317</v>
      </c>
      <c r="AE6" s="387" t="s">
        <v>283</v>
      </c>
      <c r="AH6" s="130"/>
      <c r="AI6" s="387" t="s">
        <v>320</v>
      </c>
      <c r="AJ6" s="387" t="s">
        <v>283</v>
      </c>
      <c r="AM6" s="392" t="s">
        <v>488</v>
      </c>
      <c r="AN6" s="392" t="s">
        <v>283</v>
      </c>
    </row>
    <row r="7" spans="1:40" outlineLevel="1">
      <c r="B7"/>
      <c r="G7" s="170" t="s">
        <v>282</v>
      </c>
      <c r="H7" s="386">
        <v>4.6805199999999996E-3</v>
      </c>
      <c r="I7"/>
      <c r="L7"/>
      <c r="M7" s="170" t="s">
        <v>40</v>
      </c>
      <c r="N7" s="386">
        <v>-0.15222859999999999</v>
      </c>
      <c r="O7" s="130"/>
      <c r="P7" s="130"/>
      <c r="Q7" s="170" t="s">
        <v>117</v>
      </c>
      <c r="R7" s="386">
        <v>4.0141600000000001E-3</v>
      </c>
      <c r="S7" s="390">
        <v>4.4417900000000001E-3</v>
      </c>
      <c r="Z7" s="130"/>
      <c r="AA7" s="130"/>
      <c r="AD7" s="170" t="s">
        <v>316</v>
      </c>
      <c r="AE7" s="386">
        <v>0.11459533</v>
      </c>
      <c r="AH7" s="130"/>
      <c r="AI7" s="170" t="s">
        <v>39</v>
      </c>
      <c r="AJ7" s="386">
        <v>0.75149566000000001</v>
      </c>
      <c r="AM7" s="170" t="s">
        <v>487</v>
      </c>
      <c r="AN7" s="391">
        <v>5.0191100000000002E-3</v>
      </c>
    </row>
    <row r="8" spans="1:40" outlineLevel="1">
      <c r="G8" s="170" t="s">
        <v>281</v>
      </c>
      <c r="H8" s="386">
        <v>7.6353499999999999E-3</v>
      </c>
      <c r="I8"/>
      <c r="L8"/>
      <c r="M8" s="170" t="s">
        <v>306</v>
      </c>
      <c r="N8" s="386">
        <v>2.8065299999999998E-3</v>
      </c>
      <c r="O8" s="130"/>
      <c r="P8" s="130"/>
      <c r="Q8" s="170" t="s">
        <v>63</v>
      </c>
      <c r="R8" s="386">
        <v>3.5919239999999998E-2</v>
      </c>
      <c r="S8" s="390">
        <v>3.9745790000000003E-2</v>
      </c>
      <c r="Z8" s="130"/>
      <c r="AA8" s="130"/>
      <c r="AC8" s="130"/>
      <c r="AD8" s="170" t="s">
        <v>315</v>
      </c>
      <c r="AE8" s="386">
        <v>0.17133200000000001</v>
      </c>
      <c r="AH8" s="130"/>
      <c r="AI8" s="170" t="s">
        <v>319</v>
      </c>
      <c r="AJ8" s="386">
        <v>2E-8</v>
      </c>
      <c r="AM8" s="170" t="s">
        <v>486</v>
      </c>
      <c r="AN8" s="391">
        <v>7.0126199999999998E-3</v>
      </c>
    </row>
    <row r="9" spans="1:40" outlineLevel="1">
      <c r="G9" s="170" t="s">
        <v>280</v>
      </c>
      <c r="H9" s="386">
        <v>9.9149500000000005E-3</v>
      </c>
      <c r="I9"/>
      <c r="L9"/>
      <c r="M9" s="170" t="s">
        <v>305</v>
      </c>
      <c r="N9" s="386">
        <v>3.5755399999999999E-3</v>
      </c>
      <c r="O9" s="130"/>
      <c r="P9" s="130"/>
      <c r="Q9" s="170" t="s">
        <v>43</v>
      </c>
      <c r="R9" s="386">
        <v>9.4942020000000002E-2</v>
      </c>
      <c r="S9" s="390">
        <v>0.10505641</v>
      </c>
      <c r="Z9" s="130"/>
      <c r="AA9" s="130"/>
      <c r="AD9" s="170" t="s">
        <v>314</v>
      </c>
      <c r="AE9" s="386">
        <v>0.25063258999999999</v>
      </c>
      <c r="AH9" s="130"/>
      <c r="AI9" s="130"/>
      <c r="AM9" s="170" t="s">
        <v>485</v>
      </c>
      <c r="AN9" s="391">
        <v>8.8911800000000003E-3</v>
      </c>
    </row>
    <row r="10" spans="1:40" outlineLevel="1">
      <c r="B10"/>
      <c r="G10" s="170" t="s">
        <v>279</v>
      </c>
      <c r="H10" s="386">
        <v>1.0427769999999999E-2</v>
      </c>
      <c r="I10"/>
      <c r="L10"/>
      <c r="M10" s="170" t="s">
        <v>304</v>
      </c>
      <c r="N10" s="386">
        <v>4.6196099999999997E-3</v>
      </c>
      <c r="O10" s="130"/>
      <c r="P10" s="130"/>
      <c r="Q10" s="170" t="s">
        <v>41</v>
      </c>
      <c r="R10" s="386">
        <v>6.973712E-2</v>
      </c>
      <c r="S10" s="390">
        <v>7.7166369999999998E-2</v>
      </c>
      <c r="Z10" s="130"/>
      <c r="AA10" s="130"/>
      <c r="AD10" s="170" t="s">
        <v>313</v>
      </c>
      <c r="AE10" s="386">
        <v>2.0656560000000001E-2</v>
      </c>
      <c r="AH10" s="130"/>
      <c r="AI10" s="130"/>
      <c r="AM10" s="170" t="s">
        <v>484</v>
      </c>
      <c r="AN10" s="391">
        <v>5.1402100000000001E-3</v>
      </c>
    </row>
    <row r="11" spans="1:40" outlineLevel="1">
      <c r="B11"/>
      <c r="C11"/>
      <c r="D11" s="130"/>
      <c r="E11" s="130"/>
      <c r="F11" s="130"/>
      <c r="G11" s="170" t="s">
        <v>278</v>
      </c>
      <c r="H11" s="386">
        <v>1.473555E-2</v>
      </c>
      <c r="I11"/>
      <c r="J11" s="130"/>
      <c r="L11"/>
      <c r="M11" s="170" t="s">
        <v>303</v>
      </c>
      <c r="N11" s="386">
        <v>7.0126199999999998E-3</v>
      </c>
      <c r="O11" s="130"/>
      <c r="P11" s="130"/>
      <c r="Q11" s="170" t="s">
        <v>115</v>
      </c>
      <c r="R11" s="386">
        <v>0.10666232</v>
      </c>
      <c r="S11" s="390">
        <v>0.11802529</v>
      </c>
      <c r="Z11" s="130"/>
      <c r="AA11" s="130"/>
      <c r="AB11" s="130"/>
      <c r="AC11" s="130"/>
      <c r="AD11" s="170" t="s">
        <v>312</v>
      </c>
      <c r="AE11" s="386">
        <v>0.19427918999999999</v>
      </c>
      <c r="AF11" s="130"/>
      <c r="AH11" s="130"/>
      <c r="AI11" s="130"/>
      <c r="AM11" s="170" t="s">
        <v>483</v>
      </c>
      <c r="AN11" s="391">
        <v>1.7608400000000001E-3</v>
      </c>
    </row>
    <row r="12" spans="1:40" outlineLevel="1">
      <c r="D12" s="130"/>
      <c r="E12" s="130"/>
      <c r="F12" s="130"/>
      <c r="G12" s="170" t="s">
        <v>277</v>
      </c>
      <c r="H12" s="386">
        <v>2.085002E-2</v>
      </c>
      <c r="I12"/>
      <c r="J12" s="130"/>
      <c r="L12"/>
      <c r="M12" s="170" t="s">
        <v>302</v>
      </c>
      <c r="N12" s="386">
        <v>8.6572000000000003E-3</v>
      </c>
      <c r="O12" s="130"/>
      <c r="P12" s="130"/>
      <c r="Q12" s="170" t="s">
        <v>114</v>
      </c>
      <c r="R12" s="386">
        <v>0.12481453000000001</v>
      </c>
      <c r="S12" s="390">
        <v>0.13811129</v>
      </c>
      <c r="U12" s="183"/>
      <c r="V12" s="183"/>
      <c r="W12" s="183"/>
      <c r="X12" s="183" t="s">
        <v>118</v>
      </c>
      <c r="Y12" s="130"/>
      <c r="Z12" s="130"/>
      <c r="AA12" s="130"/>
      <c r="AH12" s="130"/>
      <c r="AI12" s="130"/>
      <c r="AM12" s="170" t="s">
        <v>482</v>
      </c>
      <c r="AN12" s="391">
        <v>3.1688699999999998E-3</v>
      </c>
    </row>
    <row r="13" spans="1:40" outlineLevel="1">
      <c r="G13" s="170" t="s">
        <v>276</v>
      </c>
      <c r="H13" s="386">
        <v>3.206432E-2</v>
      </c>
      <c r="I13"/>
      <c r="J13" s="130"/>
      <c r="L13"/>
      <c r="M13" s="170" t="s">
        <v>301</v>
      </c>
      <c r="N13" s="386">
        <v>9.6943600000000008E-3</v>
      </c>
      <c r="O13" s="130"/>
      <c r="P13" s="130"/>
      <c r="Q13" s="170" t="s">
        <v>113</v>
      </c>
      <c r="R13" s="386">
        <v>0.14988290000000001</v>
      </c>
      <c r="S13" s="390">
        <v>0.16585025</v>
      </c>
      <c r="AF13" s="130"/>
      <c r="AH13" s="130"/>
      <c r="AI13" s="130"/>
      <c r="AM13" s="170" t="s">
        <v>481</v>
      </c>
      <c r="AN13" s="391">
        <v>1.400035E-2</v>
      </c>
    </row>
    <row r="14" spans="1:40" ht="15" customHeight="1" outlineLevel="1">
      <c r="G14" s="170" t="s">
        <v>275</v>
      </c>
      <c r="H14" s="386">
        <v>3.3748889999999997E-2</v>
      </c>
      <c r="M14" s="170" t="s">
        <v>300</v>
      </c>
      <c r="N14" s="386">
        <v>1.254573E-2</v>
      </c>
      <c r="Q14" s="170" t="s">
        <v>112</v>
      </c>
      <c r="R14" s="386">
        <v>8.761998E-2</v>
      </c>
      <c r="S14" s="390">
        <v>9.6954330000000005E-2</v>
      </c>
      <c r="AF14" s="130"/>
      <c r="AG14" s="130"/>
      <c r="AH14" s="130"/>
      <c r="AI14" s="130"/>
      <c r="AM14" s="170" t="s">
        <v>480</v>
      </c>
      <c r="AN14" s="391">
        <v>8.2537200000000008E-3</v>
      </c>
    </row>
    <row r="15" spans="1:40" outlineLevel="1">
      <c r="G15" s="170" t="s">
        <v>274</v>
      </c>
      <c r="H15" s="386">
        <v>4.3709369999999997E-2</v>
      </c>
      <c r="M15" s="170" t="s">
        <v>299</v>
      </c>
      <c r="N15" s="386">
        <v>1.288824E-2</v>
      </c>
      <c r="Q15" s="170" t="s">
        <v>111</v>
      </c>
      <c r="R15" s="386">
        <v>0.17083767</v>
      </c>
      <c r="S15" s="390">
        <v>0.18903738</v>
      </c>
      <c r="AF15" s="130"/>
      <c r="AG15" s="130"/>
      <c r="AH15" s="130"/>
      <c r="AI15" s="130"/>
      <c r="AM15" s="170" t="s">
        <v>479</v>
      </c>
      <c r="AN15" s="391">
        <v>5.0398099999999996E-3</v>
      </c>
    </row>
    <row r="16" spans="1:40" outlineLevel="1">
      <c r="G16" s="170" t="s">
        <v>273</v>
      </c>
      <c r="H16" s="386">
        <v>5.646292E-2</v>
      </c>
      <c r="M16" s="170" t="s">
        <v>298</v>
      </c>
      <c r="N16" s="386">
        <v>1.461201E-2</v>
      </c>
      <c r="Q16" s="170" t="s">
        <v>110</v>
      </c>
      <c r="R16" s="386">
        <v>5.7665019999999997E-2</v>
      </c>
      <c r="S16" s="390">
        <v>6.3808199999999995E-2</v>
      </c>
      <c r="AF16" s="130"/>
      <c r="AG16" s="130"/>
      <c r="AH16" s="130"/>
      <c r="AI16" s="130"/>
      <c r="AM16" s="170" t="s">
        <v>478</v>
      </c>
      <c r="AN16" s="391">
        <v>6.5723600000000002E-3</v>
      </c>
    </row>
    <row r="17" spans="1:40" outlineLevel="1">
      <c r="G17" s="170" t="s">
        <v>272</v>
      </c>
      <c r="H17" s="386">
        <v>6.7986770000000002E-2</v>
      </c>
      <c r="M17" s="170" t="s">
        <v>297</v>
      </c>
      <c r="N17" s="386">
        <v>1.6770520000000001E-2</v>
      </c>
      <c r="Q17" s="170" t="s">
        <v>109</v>
      </c>
      <c r="R17" s="386">
        <v>1.6293E-3</v>
      </c>
      <c r="S17" s="390">
        <v>1.80287E-3</v>
      </c>
      <c r="AF17" s="130"/>
      <c r="AG17" s="130"/>
      <c r="AH17" s="130"/>
      <c r="AI17" s="130"/>
      <c r="AM17" s="170" t="s">
        <v>477</v>
      </c>
      <c r="AN17" s="391">
        <v>3.8545900000000002E-3</v>
      </c>
    </row>
    <row r="18" spans="1:40" outlineLevel="1">
      <c r="G18" s="170" t="s">
        <v>271</v>
      </c>
      <c r="H18" s="386">
        <v>6.9753179999999998E-2</v>
      </c>
      <c r="M18" s="170" t="s">
        <v>296</v>
      </c>
      <c r="N18" s="386">
        <v>2.5279900000000001E-2</v>
      </c>
      <c r="Q18" s="170" t="s">
        <v>42</v>
      </c>
      <c r="R18" s="386">
        <v>2E-8</v>
      </c>
      <c r="S18" s="390">
        <v>2E-8</v>
      </c>
      <c r="AF18" s="130"/>
      <c r="AG18" s="130"/>
      <c r="AH18" s="130"/>
      <c r="AI18" s="130"/>
      <c r="AM18" s="170" t="s">
        <v>476</v>
      </c>
      <c r="AN18" s="391">
        <v>8.40341E-3</v>
      </c>
    </row>
    <row r="19" spans="1:40" outlineLevel="1">
      <c r="G19" s="170" t="s">
        <v>270</v>
      </c>
      <c r="H19" s="386">
        <v>7.9007149999999998E-2</v>
      </c>
      <c r="M19" s="170" t="s">
        <v>295</v>
      </c>
      <c r="N19" s="386">
        <v>3.5193469999999998E-2</v>
      </c>
      <c r="AF19" s="130"/>
      <c r="AG19" s="130"/>
      <c r="AH19" s="130"/>
      <c r="AI19" s="130"/>
      <c r="AM19" s="170" t="s">
        <v>475</v>
      </c>
      <c r="AN19" s="391">
        <v>8.6874299999999995E-3</v>
      </c>
    </row>
    <row r="20" spans="1:40" outlineLevel="1">
      <c r="G20" s="170" t="s">
        <v>269</v>
      </c>
      <c r="H20" s="386">
        <v>8.0080970000000001E-2</v>
      </c>
      <c r="M20" s="170" t="s">
        <v>294</v>
      </c>
      <c r="N20" s="386">
        <v>3.829403E-2</v>
      </c>
      <c r="AF20" s="130"/>
      <c r="AG20" s="130"/>
      <c r="AH20" s="130"/>
      <c r="AI20" s="130"/>
      <c r="AM20" s="170" t="s">
        <v>474</v>
      </c>
      <c r="AN20" s="391">
        <v>4.6196099999999997E-3</v>
      </c>
    </row>
    <row r="21" spans="1:40" outlineLevel="1">
      <c r="G21" s="170" t="s">
        <v>268</v>
      </c>
      <c r="H21" s="386">
        <v>0.10952582</v>
      </c>
      <c r="M21" s="170" t="s">
        <v>293</v>
      </c>
      <c r="N21" s="386">
        <v>5.4042029999999998E-2</v>
      </c>
      <c r="AF21" s="130"/>
      <c r="AG21" s="130"/>
      <c r="AH21" s="130"/>
      <c r="AI21" s="130"/>
      <c r="AM21" s="170" t="s">
        <v>473</v>
      </c>
      <c r="AN21" s="391">
        <v>8.6768000000000001E-3</v>
      </c>
    </row>
    <row r="22" spans="1:40" outlineLevel="1">
      <c r="G22" s="170" t="s">
        <v>267</v>
      </c>
      <c r="H22" s="386">
        <v>0.11226354</v>
      </c>
      <c r="M22" s="170" t="s">
        <v>292</v>
      </c>
      <c r="N22" s="386">
        <v>7.4514410000000003E-2</v>
      </c>
      <c r="AF22" s="130"/>
      <c r="AG22" s="130"/>
      <c r="AH22" s="130"/>
      <c r="AI22" s="130"/>
      <c r="AM22" s="170" t="s">
        <v>472</v>
      </c>
      <c r="AN22" s="391">
        <v>6.3769899999999999E-3</v>
      </c>
    </row>
    <row r="23" spans="1:40" outlineLevel="1">
      <c r="G23" s="170" t="s">
        <v>266</v>
      </c>
      <c r="H23" s="386">
        <v>0.15087717</v>
      </c>
      <c r="M23" s="170" t="s">
        <v>291</v>
      </c>
      <c r="N23" s="386">
        <v>8.0036689999999994E-2</v>
      </c>
      <c r="AF23" s="130"/>
      <c r="AG23" s="130"/>
      <c r="AH23" s="130"/>
      <c r="AI23" s="130"/>
      <c r="AM23" s="170" t="s">
        <v>471</v>
      </c>
      <c r="AN23" s="391">
        <v>3.5646800000000002E-3</v>
      </c>
    </row>
    <row r="24" spans="1:40" outlineLevel="1">
      <c r="M24" s="170" t="s">
        <v>290</v>
      </c>
      <c r="N24" s="386">
        <v>9.3956750000000006E-2</v>
      </c>
      <c r="AF24" s="130"/>
      <c r="AG24" s="130"/>
      <c r="AH24" s="130"/>
      <c r="AI24" s="130"/>
      <c r="AM24" s="170" t="s">
        <v>470</v>
      </c>
      <c r="AN24" s="391">
        <v>3.0550600000000001E-3</v>
      </c>
    </row>
    <row r="25" spans="1:40" outlineLevel="1">
      <c r="A25" s="100" t="s">
        <v>286</v>
      </c>
      <c r="B25" s="99"/>
      <c r="M25" s="170" t="s">
        <v>289</v>
      </c>
      <c r="N25" s="386">
        <v>0.11315304</v>
      </c>
      <c r="AF25" s="130"/>
      <c r="AG25" s="130"/>
      <c r="AH25" s="130"/>
      <c r="AI25" s="130"/>
      <c r="AM25" s="170" t="s">
        <v>469</v>
      </c>
      <c r="AN25" s="391">
        <v>8.6416400000000008E-3</v>
      </c>
    </row>
    <row r="26" spans="1:40" outlineLevel="1">
      <c r="A26" s="389" t="s">
        <v>331</v>
      </c>
      <c r="B26" s="388"/>
      <c r="M26" s="170" t="s">
        <v>288</v>
      </c>
      <c r="N26" s="386">
        <v>0.14312816</v>
      </c>
      <c r="AF26" s="130"/>
      <c r="AG26" s="130"/>
      <c r="AH26" s="130"/>
      <c r="AI26" s="130"/>
      <c r="AM26" s="170" t="s">
        <v>468</v>
      </c>
      <c r="AN26" s="391">
        <v>2.5523299999999998E-3</v>
      </c>
    </row>
    <row r="27" spans="1:40" outlineLevel="1">
      <c r="A27" s="170" t="s">
        <v>40</v>
      </c>
      <c r="B27" s="175"/>
      <c r="M27" s="170" t="s">
        <v>287</v>
      </c>
      <c r="N27" s="386">
        <v>0.15294344000000001</v>
      </c>
      <c r="AF27" s="130"/>
      <c r="AG27" s="130"/>
      <c r="AH27" s="130"/>
      <c r="AI27" s="130"/>
      <c r="AM27" s="170" t="s">
        <v>467</v>
      </c>
      <c r="AN27" s="391">
        <v>1.4746200000000001E-3</v>
      </c>
    </row>
    <row r="28" spans="1:40" outlineLevel="1">
      <c r="A28" s="387" t="s">
        <v>330</v>
      </c>
      <c r="B28" s="387"/>
      <c r="AF28" s="130"/>
      <c r="AG28" s="130"/>
      <c r="AH28" s="130"/>
      <c r="AI28" s="130"/>
      <c r="AM28" s="170" t="s">
        <v>466</v>
      </c>
      <c r="AN28" s="391">
        <v>8.0327599999999999E-3</v>
      </c>
    </row>
    <row r="29" spans="1:40" outlineLevel="1">
      <c r="A29" s="170" t="s">
        <v>329</v>
      </c>
      <c r="B29" s="175">
        <v>14.929038</v>
      </c>
      <c r="AF29" s="130"/>
      <c r="AG29" s="130"/>
      <c r="AH29" s="130"/>
      <c r="AI29" s="130"/>
      <c r="AM29" s="170" t="s">
        <v>465</v>
      </c>
      <c r="AN29" s="391">
        <v>4.5475400000000001E-3</v>
      </c>
    </row>
    <row r="30" spans="1:40" outlineLevel="1">
      <c r="A30" s="170" t="s">
        <v>328</v>
      </c>
      <c r="B30" s="175">
        <v>196.59877599999999</v>
      </c>
      <c r="AF30" s="130"/>
      <c r="AG30" s="130"/>
      <c r="AH30" s="130"/>
      <c r="AI30" s="130"/>
      <c r="AM30" s="170" t="s">
        <v>464</v>
      </c>
      <c r="AN30" s="391">
        <v>5.0975400000000002E-3</v>
      </c>
    </row>
    <row r="31" spans="1:40" outlineLevel="1">
      <c r="A31" s="170" t="s">
        <v>327</v>
      </c>
      <c r="B31" s="175">
        <v>5.0143700000000004</v>
      </c>
      <c r="AF31" s="130"/>
      <c r="AG31" s="130"/>
      <c r="AH31" s="130"/>
      <c r="AI31" s="130"/>
      <c r="AM31" s="170" t="s">
        <v>463</v>
      </c>
      <c r="AN31" s="391">
        <v>3.4989499999999998E-3</v>
      </c>
    </row>
    <row r="32" spans="1:40" outlineLevel="1">
      <c r="A32" s="170" t="s">
        <v>326</v>
      </c>
      <c r="B32" s="175">
        <v>4.5954189999999997</v>
      </c>
      <c r="AF32" s="130"/>
      <c r="AG32" s="130"/>
      <c r="AH32" s="130"/>
      <c r="AI32" s="130"/>
      <c r="AM32" s="170" t="s">
        <v>462</v>
      </c>
      <c r="AN32" s="391">
        <v>4.9310400000000002E-3</v>
      </c>
    </row>
    <row r="33" spans="1:40" ht="15" customHeight="1" outlineLevel="1">
      <c r="A33" s="170" t="s">
        <v>325</v>
      </c>
      <c r="B33" s="175">
        <v>2.9694720000000001</v>
      </c>
      <c r="AF33" s="130"/>
      <c r="AG33" s="130"/>
      <c r="AH33" s="130"/>
      <c r="AI33" s="130"/>
      <c r="AM33" s="170" t="s">
        <v>461</v>
      </c>
      <c r="AN33" s="391">
        <v>4.5921599999999996E-3</v>
      </c>
    </row>
    <row r="34" spans="1:40" ht="15" customHeight="1" outlineLevel="1">
      <c r="A34" s="170" t="s">
        <v>324</v>
      </c>
      <c r="B34" s="175">
        <v>2.1503760000000001</v>
      </c>
      <c r="AF34" s="130"/>
      <c r="AG34" s="130"/>
      <c r="AH34" s="130"/>
      <c r="AI34" s="130"/>
      <c r="AM34" s="170" t="s">
        <v>460</v>
      </c>
      <c r="AN34" s="391">
        <v>1.3601900000000001E-3</v>
      </c>
    </row>
    <row r="35" spans="1:40" outlineLevel="1">
      <c r="A35" s="170" t="s">
        <v>323</v>
      </c>
      <c r="B35" s="175">
        <v>12.883032999999999</v>
      </c>
      <c r="AF35" s="130"/>
      <c r="AG35" s="130"/>
      <c r="AH35" s="130"/>
      <c r="AI35" s="130"/>
      <c r="AM35" s="170" t="s">
        <v>459</v>
      </c>
      <c r="AN35" s="391">
        <v>3.7422699999999998E-3</v>
      </c>
    </row>
    <row r="36" spans="1:40" outlineLevel="1">
      <c r="A36" s="170" t="s">
        <v>322</v>
      </c>
      <c r="B36" s="175">
        <v>35.720463000000002</v>
      </c>
      <c r="AF36" s="130"/>
      <c r="AG36" s="130"/>
      <c r="AH36" s="130"/>
      <c r="AI36" s="130"/>
      <c r="AM36" s="170" t="s">
        <v>458</v>
      </c>
      <c r="AN36" s="391">
        <v>6.0733599999999999E-3</v>
      </c>
    </row>
    <row r="37" spans="1:40" ht="15" customHeight="1" outlineLevel="1">
      <c r="A37" s="130"/>
      <c r="B37" s="130"/>
      <c r="C37" s="130"/>
      <c r="D37"/>
      <c r="G37" s="130"/>
      <c r="H37" s="130"/>
      <c r="I37"/>
      <c r="J37" s="130"/>
      <c r="K37" s="130"/>
      <c r="L37" s="130"/>
      <c r="M37"/>
      <c r="N37" s="130"/>
      <c r="O37" s="130"/>
      <c r="P37" s="130"/>
      <c r="Q37"/>
      <c r="R37" s="130"/>
      <c r="S37" s="130"/>
      <c r="T37" s="130"/>
      <c r="X37" s="130"/>
      <c r="Y37" s="130"/>
      <c r="Z37" s="130"/>
      <c r="AA37" s="130"/>
      <c r="AB37" s="130"/>
      <c r="AC37" s="130"/>
      <c r="AD37" s="130"/>
      <c r="AE37" s="176" t="str">
        <f>IF(AC37="","",SUMIF(Sophis!K:K,Données!AC37,Sophis!W:W))</f>
        <v/>
      </c>
      <c r="AF37" s="130"/>
      <c r="AG37" s="130"/>
      <c r="AH37" s="130"/>
      <c r="AI37" s="130"/>
      <c r="AM37" s="170" t="s">
        <v>457</v>
      </c>
      <c r="AN37" s="391">
        <v>5.2265799999999998E-3</v>
      </c>
    </row>
    <row r="38" spans="1:40" ht="15" customHeight="1" outlineLevel="1">
      <c r="A38" s="370" t="s">
        <v>230</v>
      </c>
      <c r="B38" s="370"/>
      <c r="D38" s="130"/>
      <c r="E38" s="130"/>
      <c r="F38" s="130"/>
      <c r="G38" s="130"/>
      <c r="H38" s="130"/>
      <c r="I38"/>
      <c r="J38" s="130"/>
      <c r="L38"/>
      <c r="M38" s="130"/>
      <c r="N38" s="130"/>
      <c r="O38" s="130"/>
      <c r="P38" s="130"/>
      <c r="Q38" s="130"/>
      <c r="R38" s="130"/>
      <c r="T38" s="130">
        <v>1</v>
      </c>
      <c r="X38" s="130"/>
      <c r="Y38" s="130"/>
      <c r="Z38" s="130"/>
      <c r="AA38" s="130"/>
      <c r="AB38" s="130"/>
      <c r="AC38" s="130"/>
      <c r="AD38" s="130"/>
      <c r="AE38" s="176" t="str">
        <f>IF(AC38="","",SUMIF(Sophis!K:K,Données!AC38,Sophis!W:W))</f>
        <v/>
      </c>
      <c r="AF38" s="130"/>
      <c r="AG38" s="130"/>
      <c r="AH38" s="130"/>
      <c r="AI38" s="130"/>
      <c r="AM38" s="170" t="s">
        <v>456</v>
      </c>
      <c r="AN38" s="391">
        <v>3.0912800000000001E-3</v>
      </c>
    </row>
    <row r="39" spans="1:40" ht="15" customHeight="1" outlineLevel="1">
      <c r="A39" s="130" t="s">
        <v>39</v>
      </c>
      <c r="B39" s="177">
        <f>SUMIF($AC$7:$AC$74,$A$39,$AD$7:$AD$74)</f>
        <v>0</v>
      </c>
      <c r="C39" s="130"/>
      <c r="D39" s="130"/>
      <c r="E39" s="130"/>
      <c r="F39" s="130"/>
      <c r="G39" s="130"/>
      <c r="H39" s="130"/>
      <c r="I39"/>
      <c r="J39" s="130"/>
      <c r="L39"/>
      <c r="M39" s="130"/>
      <c r="N39" s="130"/>
      <c r="O39" s="130"/>
      <c r="P39" s="130"/>
      <c r="Q39" s="130"/>
      <c r="R39" s="130"/>
      <c r="T39" s="130">
        <v>2</v>
      </c>
      <c r="X39" s="130"/>
      <c r="Y39" s="130"/>
      <c r="Z39" s="130"/>
      <c r="AA39" s="130"/>
      <c r="AB39" s="130"/>
      <c r="AC39" s="130"/>
      <c r="AD39" s="130"/>
      <c r="AE39" s="176" t="str">
        <f>IF(AC39="","",SUMIF(Sophis!K:K,Données!AC39,Sophis!W:W))</f>
        <v/>
      </c>
      <c r="AF39" s="130"/>
      <c r="AG39" s="130"/>
      <c r="AH39" s="130"/>
      <c r="AI39" s="130"/>
      <c r="AM39" s="170" t="s">
        <v>455</v>
      </c>
      <c r="AN39" s="391">
        <v>7.3067499999999999E-3</v>
      </c>
    </row>
    <row r="40" spans="1:40" ht="15" customHeight="1" outlineLevel="1">
      <c r="A40" s="130"/>
      <c r="B40" s="130"/>
      <c r="C40" s="130"/>
      <c r="D40" s="130"/>
      <c r="E40" s="130"/>
      <c r="F40" s="130"/>
      <c r="G40" s="130"/>
      <c r="H40" s="130"/>
      <c r="I40"/>
      <c r="J40" s="130"/>
      <c r="L40"/>
      <c r="M40" s="130"/>
      <c r="N40" s="130"/>
      <c r="O40" s="130"/>
      <c r="P40" s="130"/>
      <c r="Q40" s="130"/>
      <c r="R40" s="130"/>
      <c r="T40" s="130">
        <v>3</v>
      </c>
      <c r="X40" s="130"/>
      <c r="Y40" s="130"/>
      <c r="Z40" s="130"/>
      <c r="AA40" s="130"/>
      <c r="AB40" s="130"/>
      <c r="AC40" s="130"/>
      <c r="AD40" s="130"/>
      <c r="AE40" s="176" t="str">
        <f>IF(AC40="","",SUMIF(Sophis!K:K,Données!AC40,Sophis!W:W))</f>
        <v/>
      </c>
      <c r="AF40" s="130"/>
      <c r="AG40" s="130"/>
      <c r="AH40" s="130"/>
      <c r="AI40" s="130"/>
      <c r="AM40" s="170" t="s">
        <v>454</v>
      </c>
      <c r="AN40" s="391">
        <v>1.039149E-2</v>
      </c>
    </row>
    <row r="41" spans="1:40" ht="15" customHeight="1" outlineLevel="1">
      <c r="A41" s="130"/>
      <c r="B41" s="130"/>
      <c r="C41" s="130"/>
      <c r="D41" s="130"/>
      <c r="E41" s="130"/>
      <c r="F41" s="130"/>
      <c r="G41" s="130"/>
      <c r="H41" s="130"/>
      <c r="I41"/>
      <c r="J41" s="130"/>
      <c r="L41"/>
      <c r="M41" s="130"/>
      <c r="N41" s="130"/>
      <c r="O41" s="130"/>
      <c r="P41" s="130"/>
      <c r="Q41" s="130"/>
      <c r="R41" s="130"/>
      <c r="T41" s="130">
        <v>4</v>
      </c>
      <c r="X41" s="130"/>
      <c r="Y41" s="130"/>
      <c r="Z41" s="130"/>
      <c r="AA41" s="130"/>
      <c r="AB41" s="130"/>
      <c r="AC41" s="130"/>
      <c r="AD41" s="130"/>
      <c r="AE41" s="176" t="str">
        <f>IF(AC41="","",SUMIF(Sophis!K:K,Données!AC41,Sophis!W:W))</f>
        <v/>
      </c>
      <c r="AF41" s="130"/>
      <c r="AG41" s="130"/>
      <c r="AH41" s="130"/>
      <c r="AI41" s="130"/>
      <c r="AM41" s="170" t="s">
        <v>453</v>
      </c>
      <c r="AN41" s="391">
        <v>4.9236499999999999E-3</v>
      </c>
    </row>
    <row r="42" spans="1:40" ht="15" customHeight="1" outlineLevel="1">
      <c r="A42" s="130"/>
      <c r="B42" s="130"/>
      <c r="C42" s="130"/>
      <c r="F42" s="130"/>
      <c r="G42" s="130"/>
      <c r="H42" s="130"/>
      <c r="I42"/>
      <c r="J42" s="130"/>
      <c r="L42"/>
      <c r="M42" s="130"/>
      <c r="N42" s="130"/>
      <c r="O42" s="130"/>
      <c r="P42" s="130"/>
      <c r="Q42" s="130"/>
      <c r="R42" s="130"/>
      <c r="T42" s="130">
        <v>5</v>
      </c>
      <c r="X42" s="130"/>
      <c r="Y42" s="130"/>
      <c r="Z42" s="130"/>
      <c r="AA42" s="130"/>
      <c r="AB42" s="130"/>
      <c r="AC42" s="130"/>
      <c r="AD42" s="130"/>
      <c r="AE42" s="176" t="str">
        <f>IF(AC42="","",SUMIF(Sophis!K:K,Données!AC42,Sophis!W:W))</f>
        <v/>
      </c>
      <c r="AF42" s="130"/>
      <c r="AG42" s="130"/>
      <c r="AH42" s="130"/>
      <c r="AI42" s="130"/>
      <c r="AM42" s="170" t="s">
        <v>452</v>
      </c>
      <c r="AN42" s="391">
        <v>1.252498E-2</v>
      </c>
    </row>
    <row r="43" spans="1:40" ht="15" customHeight="1" outlineLevel="1">
      <c r="A43" s="130"/>
      <c r="B43" s="130"/>
      <c r="C43" s="130"/>
      <c r="D43" s="125" t="s">
        <v>37</v>
      </c>
      <c r="E43" s="126">
        <f>B11</f>
        <v>0</v>
      </c>
      <c r="F43" s="130"/>
      <c r="G43" s="130"/>
      <c r="H43" s="130"/>
      <c r="I43"/>
      <c r="J43" s="130"/>
      <c r="L43"/>
      <c r="M43" s="130"/>
      <c r="N43" s="130"/>
      <c r="O43" s="130"/>
      <c r="P43" s="130"/>
      <c r="Q43" s="130"/>
      <c r="R43" s="130"/>
      <c r="T43" s="130">
        <v>6</v>
      </c>
      <c r="X43" s="130"/>
      <c r="Y43" s="130"/>
      <c r="Z43" s="130"/>
      <c r="AA43" s="130"/>
      <c r="AB43" s="130"/>
      <c r="AC43" s="130"/>
      <c r="AD43" s="130"/>
      <c r="AE43" s="176" t="str">
        <f>IF(AC43="","",SUMIF(Sophis!K:K,Données!AC43,Sophis!W:W))</f>
        <v/>
      </c>
      <c r="AF43" s="130"/>
      <c r="AG43" s="130"/>
      <c r="AH43" s="130"/>
      <c r="AI43" s="130"/>
      <c r="AM43" s="170" t="s">
        <v>451</v>
      </c>
      <c r="AN43" s="391">
        <v>3.7769399999999999E-3</v>
      </c>
    </row>
    <row r="44" spans="1:40" outlineLevel="1">
      <c r="A44" s="130"/>
      <c r="B44" s="130"/>
      <c r="C44" s="130"/>
      <c r="D44" s="130"/>
      <c r="E44" s="130"/>
      <c r="F44" s="130"/>
      <c r="G44" s="130"/>
      <c r="H44" s="130"/>
      <c r="I44"/>
      <c r="J44" s="130"/>
      <c r="L44"/>
      <c r="M44" s="130"/>
      <c r="N44" s="130"/>
      <c r="O44" s="130"/>
      <c r="P44" s="130"/>
      <c r="Q44"/>
      <c r="R44" s="130"/>
      <c r="T44" s="130">
        <v>7</v>
      </c>
      <c r="X44" s="130"/>
      <c r="Y44" s="130"/>
      <c r="Z44" s="130"/>
      <c r="AA44" s="130"/>
      <c r="AB44" s="130"/>
      <c r="AC44" s="130"/>
      <c r="AD44" s="130"/>
      <c r="AE44" s="176" t="str">
        <f>IF(AC44="","",SUMIF(Sophis!K:K,Données!AC44,Sophis!W:W))</f>
        <v/>
      </c>
      <c r="AF44" s="130"/>
      <c r="AG44" s="130"/>
      <c r="AH44" s="130"/>
      <c r="AI44" s="130"/>
      <c r="AM44" s="170" t="s">
        <v>450</v>
      </c>
      <c r="AN44" s="391">
        <v>4.0598099999999996E-3</v>
      </c>
    </row>
    <row r="45" spans="1:40" outlineLevel="1">
      <c r="A45" s="130"/>
      <c r="B45" s="130"/>
      <c r="C45" s="130"/>
      <c r="D45" s="130"/>
      <c r="E45" s="130"/>
      <c r="F45" s="130"/>
      <c r="G45" s="130"/>
      <c r="H45" s="130"/>
      <c r="I45"/>
      <c r="J45" s="130"/>
      <c r="L45"/>
      <c r="M45" s="130"/>
      <c r="N45" s="130"/>
      <c r="O45" s="130"/>
      <c r="P45" s="130"/>
      <c r="Q45"/>
      <c r="R45" s="130"/>
      <c r="T45" s="130">
        <v>8</v>
      </c>
      <c r="X45" s="130"/>
      <c r="Y45" s="130"/>
      <c r="Z45" s="130"/>
      <c r="AA45" s="130"/>
      <c r="AB45" s="130"/>
      <c r="AC45" s="130"/>
      <c r="AD45" s="130"/>
      <c r="AE45" s="176" t="str">
        <f>IF(AC45="","",SUMIF(Sophis!K:K,Données!AC45,Sophis!W:W))</f>
        <v/>
      </c>
      <c r="AF45" s="130"/>
      <c r="AG45" s="130"/>
      <c r="AH45" s="130"/>
      <c r="AI45" s="130"/>
      <c r="AM45" s="170" t="s">
        <v>449</v>
      </c>
      <c r="AN45" s="391">
        <v>3.0675400000000001E-3</v>
      </c>
    </row>
    <row r="46" spans="1:40" outlineLevel="1">
      <c r="A46" s="130"/>
      <c r="B46" s="130"/>
      <c r="C46" s="130"/>
      <c r="D46" s="130"/>
      <c r="E46" s="130"/>
      <c r="F46" s="130"/>
      <c r="G46" s="130"/>
      <c r="H46" s="130"/>
      <c r="I46"/>
      <c r="J46" s="130"/>
      <c r="L46"/>
      <c r="M46" s="130"/>
      <c r="N46" s="130"/>
      <c r="O46" s="130"/>
      <c r="P46" s="130"/>
      <c r="Q46"/>
      <c r="R46" s="130"/>
      <c r="T46" s="130">
        <v>9</v>
      </c>
      <c r="X46" s="130"/>
      <c r="Y46" s="130"/>
      <c r="Z46" s="130"/>
      <c r="AA46" s="130"/>
      <c r="AB46" s="130"/>
      <c r="AC46" s="130"/>
      <c r="AD46" s="130"/>
      <c r="AE46" s="176" t="str">
        <f>IF(AC46="","",SUMIF(Sophis!K:K,Données!AC46,Sophis!W:W))</f>
        <v/>
      </c>
      <c r="AF46" s="130"/>
      <c r="AG46" s="130"/>
      <c r="AH46" s="130"/>
      <c r="AI46" s="130"/>
      <c r="AM46" s="170" t="s">
        <v>448</v>
      </c>
      <c r="AN46" s="391">
        <v>6.5095500000000002E-3</v>
      </c>
    </row>
    <row r="47" spans="1:40" outlineLevel="1">
      <c r="A47" s="130"/>
      <c r="B47" s="130"/>
      <c r="C47" s="130"/>
      <c r="D47" s="130"/>
      <c r="E47" s="130"/>
      <c r="F47" s="130"/>
      <c r="G47" s="130"/>
      <c r="H47" s="130"/>
      <c r="I47"/>
      <c r="J47" s="130"/>
      <c r="L47"/>
      <c r="M47" s="130"/>
      <c r="N47" s="130"/>
      <c r="O47" s="130"/>
      <c r="P47" s="130"/>
      <c r="Q47"/>
      <c r="R47" s="130"/>
      <c r="T47" s="130">
        <v>10</v>
      </c>
      <c r="X47" s="130"/>
      <c r="Y47" s="130"/>
      <c r="Z47" s="130"/>
      <c r="AA47" s="130"/>
      <c r="AB47" s="130"/>
      <c r="AC47" s="130"/>
      <c r="AD47" s="130"/>
      <c r="AE47" s="176" t="str">
        <f>IF(AC47="","",SUMIF(Sophis!K:K,Données!AC47,Sophis!W:W))</f>
        <v/>
      </c>
      <c r="AF47" s="130"/>
      <c r="AG47" s="130"/>
      <c r="AH47" s="130"/>
      <c r="AI47" s="130"/>
      <c r="AM47" s="170" t="s">
        <v>447</v>
      </c>
      <c r="AN47" s="391">
        <v>3.8230999999999998E-3</v>
      </c>
    </row>
    <row r="48" spans="1:40" ht="15" customHeight="1" outlineLevel="1">
      <c r="C48" s="130"/>
      <c r="D48" s="130"/>
      <c r="E48" s="130"/>
      <c r="F48" s="130"/>
      <c r="G48" s="130"/>
      <c r="H48" s="130"/>
      <c r="I48"/>
      <c r="J48" s="130"/>
      <c r="L48"/>
      <c r="M48" s="130"/>
      <c r="N48" s="130"/>
      <c r="O48" s="130"/>
      <c r="P48" s="130"/>
      <c r="Q48"/>
      <c r="R48" s="130"/>
      <c r="T48" s="130">
        <v>11</v>
      </c>
      <c r="X48" s="130"/>
      <c r="Y48" s="130"/>
      <c r="Z48" s="130"/>
      <c r="AA48" s="130"/>
      <c r="AB48" s="130"/>
      <c r="AC48" s="130"/>
      <c r="AD48" s="130"/>
      <c r="AE48" s="176" t="str">
        <f>IF(AC48="","",SUMIF(Sophis!K:K,Données!AC48,Sophis!W:W))</f>
        <v/>
      </c>
      <c r="AF48" s="130"/>
      <c r="AG48" s="130"/>
      <c r="AH48" s="130"/>
      <c r="AI48" s="130"/>
      <c r="AM48" s="170" t="s">
        <v>446</v>
      </c>
      <c r="AN48" s="391">
        <v>3.20097E-3</v>
      </c>
    </row>
    <row r="49" spans="1:40" ht="15" customHeight="1" outlineLevel="1">
      <c r="B49" s="130"/>
      <c r="C49" s="130"/>
      <c r="D49" s="130"/>
      <c r="E49" s="130"/>
      <c r="F49" s="130"/>
      <c r="G49" s="130"/>
      <c r="H49" s="130"/>
      <c r="I49"/>
      <c r="J49" s="130"/>
      <c r="L49"/>
      <c r="M49" s="130"/>
      <c r="N49" s="130"/>
      <c r="O49" s="130"/>
      <c r="P49" s="130"/>
      <c r="Q49"/>
      <c r="R49" s="130"/>
      <c r="T49" s="130">
        <v>12</v>
      </c>
      <c r="X49" s="130"/>
      <c r="Y49" s="130"/>
      <c r="Z49" s="130"/>
      <c r="AA49" s="130"/>
      <c r="AB49" s="130"/>
      <c r="AC49" s="130"/>
      <c r="AD49" s="130"/>
      <c r="AE49" s="176" t="str">
        <f>IF(AC49="","",SUMIF(Sophis!K:K,Données!AC49,Sophis!W:W))</f>
        <v/>
      </c>
      <c r="AF49" s="130"/>
      <c r="AG49" s="130"/>
      <c r="AH49" s="130"/>
      <c r="AI49" s="130"/>
      <c r="AM49" s="170" t="s">
        <v>445</v>
      </c>
      <c r="AN49" s="391">
        <v>3.1109900000000001E-3</v>
      </c>
    </row>
    <row r="50" spans="1:40" ht="15" customHeight="1" outlineLevel="1">
      <c r="A50" s="130"/>
      <c r="B50" s="130"/>
      <c r="C50" s="130"/>
      <c r="D50" s="130"/>
      <c r="E50" s="130"/>
      <c r="F50" s="130"/>
      <c r="G50" s="130"/>
      <c r="H50" s="130"/>
      <c r="I50"/>
      <c r="J50" s="130"/>
      <c r="K50" s="130"/>
      <c r="L50" s="130"/>
      <c r="M50"/>
      <c r="N50" s="130"/>
      <c r="O50" s="130"/>
      <c r="P50" s="130"/>
      <c r="Q50"/>
      <c r="R50" s="130"/>
      <c r="T50" s="130">
        <v>13</v>
      </c>
      <c r="X50" s="130"/>
      <c r="Y50" s="130"/>
      <c r="Z50" s="130"/>
      <c r="AA50" s="130"/>
      <c r="AB50" s="130"/>
      <c r="AC50" s="130"/>
      <c r="AD50" s="130"/>
      <c r="AE50" s="176" t="str">
        <f>IF(AC50="","",SUMIF(Sophis!K:K,Données!AC50,Sophis!W:W))</f>
        <v/>
      </c>
      <c r="AF50" s="130"/>
      <c r="AG50" s="130"/>
      <c r="AH50" s="130"/>
      <c r="AI50" s="130"/>
      <c r="AM50" s="170" t="s">
        <v>444</v>
      </c>
      <c r="AN50" s="391">
        <v>8.0149000000000001E-3</v>
      </c>
    </row>
    <row r="51" spans="1:40" ht="15" customHeight="1" outlineLevel="1">
      <c r="A51" s="130"/>
      <c r="B51" s="130"/>
      <c r="C51" s="130"/>
      <c r="D51" s="128" t="s">
        <v>38</v>
      </c>
      <c r="E51" s="127">
        <f>E65</f>
        <v>0.75149566000000001</v>
      </c>
      <c r="F51" s="130"/>
      <c r="G51" s="130"/>
      <c r="H51" s="130"/>
      <c r="I51"/>
      <c r="J51" s="130"/>
      <c r="K51" s="130"/>
      <c r="L51" s="130"/>
      <c r="M51"/>
      <c r="N51" s="130"/>
      <c r="O51" s="130"/>
      <c r="P51" s="130"/>
      <c r="Q51"/>
      <c r="R51" s="130"/>
      <c r="T51" s="130">
        <v>14</v>
      </c>
      <c r="X51" s="130"/>
      <c r="Y51" s="130"/>
      <c r="Z51" s="130"/>
      <c r="AA51" s="130"/>
      <c r="AB51" s="130"/>
      <c r="AC51" s="130"/>
      <c r="AD51" s="130"/>
      <c r="AE51" s="176" t="str">
        <f>IF(AC51="","",SUMIF(Sophis!K:K,Données!AC51,Sophis!W:W))</f>
        <v/>
      </c>
      <c r="AF51" s="130"/>
      <c r="AG51" s="130"/>
      <c r="AH51" s="130"/>
      <c r="AI51" s="130"/>
      <c r="AM51" s="170" t="s">
        <v>443</v>
      </c>
      <c r="AN51" s="391">
        <v>5.0652600000000002E-3</v>
      </c>
    </row>
    <row r="52" spans="1:40">
      <c r="A52" s="130"/>
      <c r="B52" s="130"/>
      <c r="C52" s="130"/>
      <c r="D52" s="163" t="s">
        <v>211</v>
      </c>
      <c r="E52" s="180">
        <f>COUNTA(AH7:AH286)</f>
        <v>0</v>
      </c>
      <c r="F52" s="130"/>
      <c r="G52" s="130"/>
      <c r="H52" s="130"/>
      <c r="I52"/>
      <c r="J52" s="130"/>
      <c r="K52" s="130"/>
      <c r="L52" s="130"/>
      <c r="M52"/>
      <c r="N52" s="130"/>
      <c r="O52" s="130"/>
      <c r="P52" s="130"/>
      <c r="Q52"/>
      <c r="R52" s="130"/>
      <c r="T52" s="130">
        <v>15</v>
      </c>
      <c r="X52" s="130"/>
      <c r="Y52" s="130"/>
      <c r="Z52" s="130"/>
      <c r="AA52" s="130"/>
      <c r="AB52" s="130"/>
      <c r="AC52" s="130"/>
      <c r="AD52" s="130"/>
      <c r="AE52" s="176" t="str">
        <f>IF(AC52="","",SUMIF(Sophis!K:K,Données!AC52,Sophis!W:W))</f>
        <v/>
      </c>
      <c r="AM52" s="170" t="s">
        <v>442</v>
      </c>
      <c r="AN52" s="391">
        <v>6.0787200000000001E-3</v>
      </c>
    </row>
    <row r="53" spans="1:40">
      <c r="A53" s="130"/>
      <c r="B53" s="130"/>
      <c r="C53" s="130"/>
      <c r="D53"/>
      <c r="G53" s="130"/>
      <c r="H53" s="130"/>
      <c r="I53"/>
      <c r="J53" s="130"/>
      <c r="K53" s="130"/>
      <c r="L53" s="130"/>
      <c r="M53"/>
      <c r="N53" s="130"/>
      <c r="O53" s="130"/>
      <c r="P53" s="130"/>
      <c r="Q53"/>
      <c r="R53" s="130"/>
      <c r="T53" s="130">
        <v>16</v>
      </c>
      <c r="X53" s="130"/>
      <c r="Y53" s="130"/>
      <c r="Z53" s="130"/>
      <c r="AA53" s="130"/>
      <c r="AB53" s="130"/>
      <c r="AC53" s="130"/>
      <c r="AD53" s="130"/>
      <c r="AE53" s="176" t="str">
        <f>IF(AC53="","",SUMIF(Sophis!K:K,Données!AC53,Sophis!W:W))</f>
        <v/>
      </c>
      <c r="AM53" s="170" t="s">
        <v>441</v>
      </c>
      <c r="AN53" s="391">
        <v>3.3163200000000002E-3</v>
      </c>
    </row>
    <row r="54" spans="1:40">
      <c r="A54" s="130"/>
      <c r="B54" s="130"/>
      <c r="C54" s="130"/>
      <c r="D54"/>
      <c r="G54" s="130"/>
      <c r="H54" s="130"/>
      <c r="I54"/>
      <c r="J54" s="130"/>
      <c r="K54" s="130"/>
      <c r="L54" s="130"/>
      <c r="M54"/>
      <c r="N54" s="130"/>
      <c r="O54" s="130"/>
      <c r="P54" s="130"/>
      <c r="Q54"/>
      <c r="R54" s="130"/>
      <c r="T54" s="130">
        <v>17</v>
      </c>
      <c r="X54" s="130"/>
      <c r="Y54" s="130"/>
      <c r="Z54" s="130"/>
      <c r="AA54" s="130"/>
      <c r="AB54" s="130"/>
      <c r="AC54" s="130"/>
      <c r="AD54" s="130"/>
      <c r="AE54" s="176" t="str">
        <f>IF(AC54="","",SUMIF(Sophis!K:K,Données!AC54,Sophis!W:W))</f>
        <v/>
      </c>
      <c r="AM54" s="170" t="s">
        <v>440</v>
      </c>
      <c r="AN54" s="391">
        <v>1.461201E-2</v>
      </c>
    </row>
    <row r="55" spans="1:40">
      <c r="A55" s="130"/>
      <c r="B55" s="130"/>
      <c r="C55" s="130"/>
      <c r="D55"/>
      <c r="G55" s="130"/>
      <c r="H55" s="130"/>
      <c r="I55"/>
      <c r="J55" s="130"/>
      <c r="K55" s="130"/>
      <c r="L55" s="130"/>
      <c r="M55"/>
      <c r="N55" s="130"/>
      <c r="O55" s="130"/>
      <c r="P55" s="130"/>
      <c r="Q55"/>
      <c r="R55" s="130"/>
      <c r="T55" s="130">
        <v>18</v>
      </c>
      <c r="X55" s="130"/>
      <c r="Y55" s="130"/>
      <c r="Z55" s="130"/>
      <c r="AA55" s="130"/>
      <c r="AB55" s="130"/>
      <c r="AC55" s="130"/>
      <c r="AD55" s="130"/>
      <c r="AE55" s="176" t="str">
        <f>IF(AC55="","",SUMIF(Sophis!K:K,Données!AC55,Sophis!W:W))</f>
        <v/>
      </c>
      <c r="AM55" s="170" t="s">
        <v>439</v>
      </c>
      <c r="AN55" s="391">
        <v>3.9519300000000002E-3</v>
      </c>
    </row>
    <row r="56" spans="1:40">
      <c r="A56" s="130"/>
      <c r="B56" s="130"/>
      <c r="C56" s="130"/>
      <c r="D56"/>
      <c r="G56" s="130"/>
      <c r="H56" s="130"/>
      <c r="I56"/>
      <c r="J56" s="130"/>
      <c r="K56" s="130"/>
      <c r="L56" s="130"/>
      <c r="M56"/>
      <c r="N56" s="130"/>
      <c r="O56" s="130"/>
      <c r="P56" s="130"/>
      <c r="Q56"/>
      <c r="R56" s="130"/>
      <c r="T56" s="130">
        <v>19</v>
      </c>
      <c r="X56" s="130"/>
      <c r="Y56" s="130"/>
      <c r="Z56" s="130"/>
      <c r="AA56" s="130"/>
      <c r="AB56" s="130"/>
      <c r="AC56" s="130"/>
      <c r="AD56" s="130"/>
      <c r="AE56" s="176" t="str">
        <f>IF(AC56="","",SUMIF(Sophis!K:K,Données!AC56,Sophis!W:W))</f>
        <v/>
      </c>
      <c r="AM56" s="170" t="s">
        <v>438</v>
      </c>
      <c r="AN56" s="391">
        <v>7.8349800000000001E-3</v>
      </c>
    </row>
    <row r="57" spans="1:40">
      <c r="A57" s="130"/>
      <c r="B57" s="130"/>
      <c r="C57" s="130"/>
      <c r="D57"/>
      <c r="G57" s="130"/>
      <c r="H57" s="130"/>
      <c r="I57"/>
      <c r="J57" s="130"/>
      <c r="K57" s="130"/>
      <c r="L57" s="130"/>
      <c r="M57"/>
      <c r="N57" s="130"/>
      <c r="O57" s="130"/>
      <c r="P57" s="130"/>
      <c r="Q57"/>
      <c r="R57" s="130"/>
      <c r="T57" s="130">
        <v>20</v>
      </c>
      <c r="X57" s="130"/>
      <c r="Y57" s="130"/>
      <c r="Z57" s="130"/>
      <c r="AA57" s="130"/>
      <c r="AB57" s="130"/>
      <c r="AC57" s="130"/>
      <c r="AD57" s="130"/>
      <c r="AE57" s="176" t="str">
        <f>IF(AC57="","",SUMIF(Sophis!K:K,Données!AC57,Sophis!W:W))</f>
        <v/>
      </c>
      <c r="AM57" s="170" t="s">
        <v>437</v>
      </c>
      <c r="AN57" s="391">
        <v>8.2901199999999998E-3</v>
      </c>
    </row>
    <row r="58" spans="1:40">
      <c r="A58" s="130"/>
      <c r="B58" s="130"/>
      <c r="C58" s="130"/>
      <c r="D58"/>
      <c r="G58" s="130"/>
      <c r="H58" s="130"/>
      <c r="I58"/>
      <c r="J58" s="130"/>
      <c r="K58" s="130"/>
      <c r="L58" s="130"/>
      <c r="M58"/>
      <c r="N58" s="130"/>
      <c r="O58" s="130"/>
      <c r="P58" s="130"/>
      <c r="Q58"/>
      <c r="R58" s="130"/>
      <c r="T58" s="130">
        <v>0</v>
      </c>
      <c r="X58" s="130"/>
      <c r="Y58" s="130"/>
      <c r="Z58" s="130"/>
      <c r="AA58" s="130"/>
      <c r="AB58" s="130"/>
      <c r="AC58" s="130"/>
      <c r="AD58" s="130"/>
      <c r="AE58" s="176" t="str">
        <f>IF(AC58="","",SUMIF(Sophis!K:K,Données!AC58,Sophis!W:W))</f>
        <v/>
      </c>
      <c r="AM58" s="170" t="s">
        <v>436</v>
      </c>
      <c r="AN58" s="391">
        <v>3.8316000000000001E-3</v>
      </c>
    </row>
    <row r="59" spans="1:40">
      <c r="A59" s="130"/>
      <c r="B59" s="130"/>
      <c r="C59" s="130"/>
      <c r="D59"/>
      <c r="G59" s="130"/>
      <c r="H59" s="130"/>
      <c r="I59"/>
      <c r="J59" s="130"/>
      <c r="K59" s="130"/>
      <c r="L59" s="130"/>
      <c r="M59"/>
      <c r="N59" s="130"/>
      <c r="O59" s="130"/>
      <c r="P59" s="130"/>
      <c r="Q59"/>
      <c r="R59" s="130"/>
      <c r="T59" s="130">
        <v>0</v>
      </c>
      <c r="X59" s="130"/>
      <c r="Y59" s="130"/>
      <c r="Z59" s="130"/>
      <c r="AA59" s="130"/>
      <c r="AB59" s="130"/>
      <c r="AC59" s="130"/>
      <c r="AD59" s="130"/>
      <c r="AE59" s="176" t="str">
        <f>IF(AC59="","",SUMIF(Sophis!K:K,Données!AC59,Sophis!W:W))</f>
        <v/>
      </c>
      <c r="AM59" s="170" t="s">
        <v>435</v>
      </c>
      <c r="AN59" s="391">
        <v>6.80709E-3</v>
      </c>
    </row>
    <row r="60" spans="1:40">
      <c r="A60" s="130"/>
      <c r="B60" s="130"/>
      <c r="C60" s="130"/>
      <c r="D60"/>
      <c r="G60" s="130"/>
      <c r="H60" s="130"/>
      <c r="I60"/>
      <c r="J60" s="130"/>
      <c r="K60" s="130"/>
      <c r="L60" s="130"/>
      <c r="M60"/>
      <c r="N60" s="130"/>
      <c r="O60" s="130"/>
      <c r="P60" s="130"/>
      <c r="Q60"/>
      <c r="R60" s="130"/>
      <c r="S60" s="130"/>
      <c r="T60" s="130"/>
      <c r="X60" s="130"/>
      <c r="Y60" s="130"/>
      <c r="Z60" s="130"/>
      <c r="AA60" s="130"/>
      <c r="AB60" s="130"/>
      <c r="AC60" s="130"/>
      <c r="AD60" s="130"/>
      <c r="AE60" s="176" t="str">
        <f>IF(AC60="","",SUMIF(Sophis!K:K,Données!AC60,Sophis!W:W))</f>
        <v/>
      </c>
      <c r="AM60" s="170" t="s">
        <v>434</v>
      </c>
      <c r="AN60" s="391">
        <v>5.4741700000000004E-3</v>
      </c>
    </row>
    <row r="61" spans="1:40">
      <c r="U61" s="130"/>
      <c r="V61" s="130"/>
      <c r="W61" s="130"/>
      <c r="X61" s="130"/>
      <c r="Y61" s="130"/>
      <c r="Z61" s="130"/>
      <c r="AA61" s="130"/>
      <c r="AB61" s="130"/>
      <c r="AC61" s="130"/>
      <c r="AD61" s="130"/>
      <c r="AE61" s="176" t="str">
        <f>IF(AC61="","",SUMIF(Sophis!K:K,Données!AC61,Sophis!W:W))</f>
        <v/>
      </c>
      <c r="AM61" s="170" t="s">
        <v>433</v>
      </c>
      <c r="AN61" s="391">
        <v>4.0514100000000001E-3</v>
      </c>
    </row>
    <row r="62" spans="1:40">
      <c r="U62" s="130"/>
      <c r="V62" s="130"/>
      <c r="W62" s="130"/>
      <c r="X62" s="130"/>
      <c r="Y62" s="130"/>
      <c r="Z62" s="130"/>
      <c r="AA62" s="130"/>
      <c r="AB62" s="130"/>
      <c r="AC62" s="130"/>
      <c r="AD62" s="130"/>
      <c r="AE62" s="176" t="str">
        <f>IF(AC62="","",SUMIF(Sophis!K:K,Données!AC62,Sophis!W:W))</f>
        <v/>
      </c>
      <c r="AM62" s="170" t="s">
        <v>432</v>
      </c>
      <c r="AN62" s="391">
        <v>1.7734999999999999E-3</v>
      </c>
    </row>
    <row r="63" spans="1:40">
      <c r="U63" s="130"/>
      <c r="V63" s="130"/>
      <c r="W63" s="130"/>
      <c r="X63" s="130"/>
      <c r="Y63" s="130"/>
      <c r="Z63" s="130"/>
      <c r="AA63" s="130"/>
      <c r="AB63" s="130"/>
      <c r="AC63" s="130"/>
      <c r="AD63" s="130"/>
      <c r="AE63" s="176" t="str">
        <f>IF(AC63="","",SUMIF(Sophis!K:K,Données!AC63,Sophis!W:W))</f>
        <v/>
      </c>
      <c r="AM63" s="170" t="s">
        <v>431</v>
      </c>
      <c r="AN63" s="391">
        <v>7.3192200000000004E-3</v>
      </c>
    </row>
    <row r="64" spans="1:40" ht="15" customHeight="1" thickBot="1">
      <c r="U64" s="130"/>
      <c r="V64" s="178"/>
      <c r="W64" s="130"/>
      <c r="X64" s="130"/>
      <c r="Y64" s="130"/>
      <c r="Z64" s="130"/>
      <c r="AA64" s="130"/>
      <c r="AB64" s="130"/>
      <c r="AC64" s="130"/>
      <c r="AD64" s="130"/>
      <c r="AE64" s="176" t="str">
        <f>IF(AC64="","",SUMIF(Sophis!K:K,Données!AC64,Sophis!W:W))</f>
        <v/>
      </c>
      <c r="AM64" s="170" t="s">
        <v>430</v>
      </c>
      <c r="AN64" s="391">
        <v>7.8334500000000005E-3</v>
      </c>
    </row>
    <row r="65" spans="4:40">
      <c r="D65" s="167" t="s">
        <v>38</v>
      </c>
      <c r="E65" s="166">
        <f>E67+SUMIF(Sophis!B:B,"ETF",Sophis!R:R)</f>
        <v>0.75149566000000001</v>
      </c>
      <c r="U65" s="130" t="s">
        <v>116</v>
      </c>
      <c r="V65" s="177" t="str">
        <f>IFERROR(VLOOKUP(U65,$O$7:$P$37,2,FALSE),"")</f>
        <v/>
      </c>
      <c r="W65" s="130" t="str">
        <f>IFERROR((V65/$U$75)*T40,"")</f>
        <v/>
      </c>
      <c r="X65" s="130"/>
      <c r="Y65" s="130"/>
      <c r="Z65" s="130"/>
      <c r="AA65" s="130"/>
      <c r="AB65" s="130"/>
      <c r="AC65" s="130"/>
      <c r="AD65" s="130"/>
      <c r="AE65" s="176" t="str">
        <f>IF(AC65="","",SUMIF(Sophis!K:K,Données!AC65,Sophis!W:W))</f>
        <v/>
      </c>
      <c r="AM65" s="170" t="s">
        <v>429</v>
      </c>
      <c r="AN65" s="391">
        <v>7.5016700000000002E-3</v>
      </c>
    </row>
    <row r="66" spans="4:40">
      <c r="D66" s="165"/>
      <c r="E66" s="164"/>
      <c r="U66" s="130"/>
      <c r="V66" s="130"/>
      <c r="W66" s="130"/>
      <c r="X66" s="130"/>
      <c r="Y66" s="130"/>
      <c r="Z66" s="130"/>
      <c r="AA66" s="130"/>
      <c r="AB66" s="130"/>
      <c r="AC66" s="130"/>
      <c r="AD66" s="130"/>
      <c r="AE66" s="176" t="str">
        <f>IF(AC66="","",SUMIF(Sophis!K:K,Données!AC66,Sophis!W:W))</f>
        <v/>
      </c>
      <c r="AM66" s="170" t="s">
        <v>428</v>
      </c>
      <c r="AN66" s="391">
        <v>6.0084500000000002E-3</v>
      </c>
    </row>
    <row r="67" spans="4:40">
      <c r="D67" s="165" t="s">
        <v>120</v>
      </c>
      <c r="E67" s="164">
        <f>H75</f>
        <v>0.75149566000000001</v>
      </c>
      <c r="U67" s="130"/>
      <c r="V67" s="130"/>
      <c r="W67" s="130"/>
      <c r="X67" s="130"/>
      <c r="Y67" s="130"/>
      <c r="Z67" s="130"/>
      <c r="AA67" s="130"/>
      <c r="AB67" s="130"/>
      <c r="AC67" s="130"/>
      <c r="AD67" s="130"/>
      <c r="AE67" s="176" t="str">
        <f>IF(AC67="","",SUMIF(Sophis!K:K,Données!AC67,Sophis!W:W))</f>
        <v/>
      </c>
      <c r="AM67" s="170" t="s">
        <v>427</v>
      </c>
      <c r="AN67" s="391">
        <v>5.1022899999999998E-3</v>
      </c>
    </row>
    <row r="68" spans="4:40">
      <c r="D68" s="165" t="s">
        <v>29</v>
      </c>
      <c r="E68" s="164">
        <f>L75</f>
        <v>0</v>
      </c>
      <c r="U68" s="130"/>
      <c r="V68" s="130"/>
      <c r="W68" s="130"/>
      <c r="X68" s="130"/>
      <c r="Y68" s="130"/>
      <c r="Z68" s="130"/>
      <c r="AA68" s="130"/>
      <c r="AB68" s="130"/>
      <c r="AC68" s="130"/>
      <c r="AD68" s="130"/>
      <c r="AE68" s="176" t="str">
        <f>IF(AC68="","",SUMIF(Sophis!K:K,Données!AC68,Sophis!W:W))</f>
        <v/>
      </c>
      <c r="AM68" s="170" t="s">
        <v>426</v>
      </c>
      <c r="AN68" s="391">
        <v>4.2556099999999999E-3</v>
      </c>
    </row>
    <row r="69" spans="4:40">
      <c r="D69" s="165" t="s">
        <v>119</v>
      </c>
      <c r="E69" s="164">
        <f>P75</f>
        <v>0</v>
      </c>
      <c r="U69" s="130"/>
      <c r="V69" s="130"/>
      <c r="W69" s="130"/>
      <c r="X69" s="130"/>
      <c r="Y69" s="130"/>
      <c r="Z69" s="130"/>
      <c r="AA69" s="130"/>
      <c r="AB69" s="130"/>
      <c r="AC69" s="130"/>
      <c r="AD69" s="130"/>
      <c r="AE69" s="176" t="str">
        <f>IF(AC69="","",SUMIF(Sophis!K:K,Données!AC69,Sophis!W:W))</f>
        <v/>
      </c>
      <c r="AM69" s="170" t="s">
        <v>425</v>
      </c>
      <c r="AN69" s="391">
        <v>1.4914699999999999E-3</v>
      </c>
    </row>
    <row r="70" spans="4:40">
      <c r="D70" s="165" t="s">
        <v>118</v>
      </c>
      <c r="E70" s="164">
        <f>U75</f>
        <v>0</v>
      </c>
      <c r="U70" s="130"/>
      <c r="V70" s="130"/>
      <c r="W70" s="130"/>
      <c r="X70" s="130"/>
      <c r="Y70" s="130"/>
      <c r="Z70" s="130"/>
      <c r="AA70" s="130"/>
      <c r="AB70" s="130"/>
      <c r="AC70" s="130"/>
      <c r="AD70" s="130"/>
      <c r="AE70" s="176" t="str">
        <f>IF(AC70="","",SUMIF(Sophis!K:K,Données!AC70,Sophis!W:W))</f>
        <v/>
      </c>
      <c r="AM70" s="170" t="s">
        <v>424</v>
      </c>
      <c r="AN70" s="391">
        <v>6.6640299999999996E-3</v>
      </c>
    </row>
    <row r="71" spans="4:40">
      <c r="D71" s="165" t="s">
        <v>34</v>
      </c>
      <c r="E71" s="164">
        <f>Z75</f>
        <v>0</v>
      </c>
      <c r="U71" s="130"/>
      <c r="V71" s="130"/>
      <c r="W71" s="130"/>
      <c r="X71" s="130"/>
      <c r="Y71" s="130"/>
      <c r="Z71" s="130"/>
      <c r="AA71" s="130"/>
      <c r="AB71" s="130"/>
      <c r="AC71" s="130"/>
      <c r="AD71" s="130"/>
      <c r="AE71" s="176" t="str">
        <f>IF(AC71="","",SUMIF(Sophis!K:K,Données!AC71,Sophis!W:W))</f>
        <v/>
      </c>
      <c r="AM71" s="170" t="s">
        <v>423</v>
      </c>
      <c r="AN71" s="391">
        <v>6.1222899999999999E-3</v>
      </c>
    </row>
    <row r="72" spans="4:40">
      <c r="D72" s="165" t="s">
        <v>121</v>
      </c>
      <c r="E72" s="164">
        <f>AD75</f>
        <v>0</v>
      </c>
      <c r="U72" s="130"/>
      <c r="V72" s="130"/>
      <c r="W72" s="130"/>
      <c r="X72" s="130"/>
      <c r="Y72" s="130"/>
      <c r="Z72" s="130"/>
      <c r="AA72" s="130"/>
      <c r="AB72" s="130"/>
      <c r="AC72" s="130"/>
      <c r="AD72" s="130"/>
      <c r="AE72" s="176" t="str">
        <f>IF(AC72="","",SUMIF(Sophis!K:K,Données!AC72,Sophis!W:W))</f>
        <v/>
      </c>
      <c r="AM72" s="170" t="s">
        <v>422</v>
      </c>
      <c r="AN72" s="391">
        <v>2.9717699999999999E-3</v>
      </c>
    </row>
    <row r="73" spans="4:40">
      <c r="U73" s="130"/>
      <c r="V73" s="130"/>
      <c r="W73" s="130"/>
      <c r="X73" s="130"/>
      <c r="Y73" s="130"/>
      <c r="Z73" s="130"/>
      <c r="AA73" s="130"/>
      <c r="AB73" s="130"/>
      <c r="AC73" s="130"/>
      <c r="AD73" s="130"/>
      <c r="AE73" s="176" t="str">
        <f>IF(AC73="","",SUMIF(Sophis!K:K,Données!AC73,Sophis!W:W))</f>
        <v/>
      </c>
      <c r="AM73" s="170" t="s">
        <v>421</v>
      </c>
      <c r="AN73" s="391">
        <v>6.8810199999999998E-3</v>
      </c>
    </row>
    <row r="74" spans="4:40" ht="15" customHeight="1" thickBot="1">
      <c r="U74" s="130"/>
      <c r="V74" s="130"/>
      <c r="W74" s="130"/>
      <c r="X74" s="130"/>
      <c r="Y74" s="130"/>
      <c r="Z74" s="130"/>
      <c r="AA74" s="130"/>
      <c r="AB74" s="130"/>
      <c r="AC74" s="130"/>
      <c r="AD74" s="130"/>
      <c r="AE74" s="176" t="str">
        <f>IF(AC74="","",SUMIF(Sophis!K:K,Données!AC74,Sophis!W:W))</f>
        <v/>
      </c>
      <c r="AM74" s="170" t="s">
        <v>420</v>
      </c>
      <c r="AN74" s="391">
        <v>7.6058100000000002E-3</v>
      </c>
    </row>
    <row r="75" spans="4:40" ht="15" customHeight="1" thickTop="1" thickBot="1">
      <c r="D75" s="179"/>
      <c r="E75" s="169" t="s">
        <v>190</v>
      </c>
      <c r="F75" s="130"/>
      <c r="G75" s="124" t="s">
        <v>5</v>
      </c>
      <c r="H75" s="131">
        <f>SUM(H6:H37)</f>
        <v>0.75149566000000001</v>
      </c>
      <c r="I75"/>
      <c r="J75" s="130"/>
      <c r="K75" s="124" t="s">
        <v>5</v>
      </c>
      <c r="L75" s="131">
        <f>SUM(L7:L37)</f>
        <v>0</v>
      </c>
      <c r="M75"/>
      <c r="N75" s="130"/>
      <c r="O75" s="124" t="s">
        <v>5</v>
      </c>
      <c r="P75" s="131">
        <f>SUM(P7:P37)</f>
        <v>0</v>
      </c>
      <c r="Q75"/>
      <c r="R75" s="130"/>
      <c r="S75" s="124" t="s">
        <v>5</v>
      </c>
      <c r="U75" s="131">
        <f>SUM(U38:U74)</f>
        <v>0</v>
      </c>
      <c r="V75" s="146"/>
      <c r="W75" s="130"/>
      <c r="X75" s="130"/>
      <c r="Y75" s="124" t="s">
        <v>5</v>
      </c>
      <c r="Z75" s="131">
        <f>SUM(Z7:Z74)</f>
        <v>0</v>
      </c>
      <c r="AA75" s="130"/>
      <c r="AB75" s="130"/>
      <c r="AC75" s="124" t="s">
        <v>5</v>
      </c>
      <c r="AD75" s="131">
        <f>SUM(AD7:AD74)</f>
        <v>0</v>
      </c>
      <c r="AE75" s="130"/>
      <c r="AM75" s="170" t="s">
        <v>419</v>
      </c>
      <c r="AN75" s="391">
        <v>6.3325600000000001E-3</v>
      </c>
    </row>
    <row r="76" spans="4:40" ht="15" customHeight="1" thickTop="1">
      <c r="AM76" s="170" t="s">
        <v>418</v>
      </c>
      <c r="AN76" s="391">
        <v>1.009929E-2</v>
      </c>
    </row>
    <row r="77" spans="4:40">
      <c r="AM77" s="170" t="s">
        <v>417</v>
      </c>
      <c r="AN77" s="391">
        <v>5.3619899999999996E-3</v>
      </c>
    </row>
    <row r="78" spans="4:40">
      <c r="AM78" s="170" t="s">
        <v>416</v>
      </c>
      <c r="AN78" s="391">
        <v>1.1279539999999999E-2</v>
      </c>
    </row>
    <row r="79" spans="4:40">
      <c r="AM79" s="170" t="s">
        <v>415</v>
      </c>
      <c r="AN79" s="391">
        <v>8.7482700000000007E-3</v>
      </c>
    </row>
    <row r="80" spans="4:40">
      <c r="AM80" s="170" t="s">
        <v>414</v>
      </c>
      <c r="AN80" s="391">
        <v>5.7170299999999997E-3</v>
      </c>
    </row>
    <row r="81" spans="39:40">
      <c r="AM81" s="170" t="s">
        <v>413</v>
      </c>
      <c r="AN81" s="391">
        <v>6.1808000000000002E-3</v>
      </c>
    </row>
    <row r="82" spans="39:40">
      <c r="AM82" s="170" t="s">
        <v>412</v>
      </c>
      <c r="AN82" s="391">
        <v>6.4469699999999998E-3</v>
      </c>
    </row>
    <row r="83" spans="39:40">
      <c r="AM83" s="170" t="s">
        <v>411</v>
      </c>
      <c r="AN83" s="391">
        <v>6.6049000000000004E-3</v>
      </c>
    </row>
    <row r="84" spans="39:40">
      <c r="AM84" s="170" t="s">
        <v>410</v>
      </c>
      <c r="AN84" s="391">
        <v>3.62101E-3</v>
      </c>
    </row>
    <row r="85" spans="39:40">
      <c r="AM85" s="170" t="s">
        <v>409</v>
      </c>
      <c r="AN85" s="391">
        <v>7.95066E-3</v>
      </c>
    </row>
    <row r="86" spans="39:40">
      <c r="AM86" s="170" t="s">
        <v>408</v>
      </c>
      <c r="AN86" s="391">
        <v>2.8213999999999999E-3</v>
      </c>
    </row>
    <row r="87" spans="39:40">
      <c r="AM87" s="170" t="s">
        <v>407</v>
      </c>
      <c r="AN87" s="391">
        <v>3.1064E-3</v>
      </c>
    </row>
    <row r="88" spans="39:40">
      <c r="AM88" s="170" t="s">
        <v>406</v>
      </c>
      <c r="AN88" s="391">
        <v>6.3277300000000002E-3</v>
      </c>
    </row>
    <row r="89" spans="39:40">
      <c r="AM89" s="170" t="s">
        <v>405</v>
      </c>
      <c r="AN89" s="391">
        <v>5.7775999999999999E-3</v>
      </c>
    </row>
    <row r="90" spans="39:40">
      <c r="AM90" s="170" t="s">
        <v>404</v>
      </c>
      <c r="AN90" s="391">
        <v>4.3460800000000004E-3</v>
      </c>
    </row>
    <row r="91" spans="39:40">
      <c r="AM91" s="170" t="s">
        <v>403</v>
      </c>
      <c r="AN91" s="391">
        <v>4.1434999999999996E-3</v>
      </c>
    </row>
    <row r="92" spans="39:40">
      <c r="AM92" s="170" t="s">
        <v>402</v>
      </c>
      <c r="AN92" s="391">
        <v>7.4766399999999997E-3</v>
      </c>
    </row>
    <row r="93" spans="39:40">
      <c r="AM93" s="170" t="s">
        <v>401</v>
      </c>
      <c r="AN93" s="391">
        <v>2.55617E-3</v>
      </c>
    </row>
    <row r="94" spans="39:40">
      <c r="AM94" s="170" t="s">
        <v>400</v>
      </c>
      <c r="AN94" s="391">
        <v>1.6293E-3</v>
      </c>
    </row>
    <row r="95" spans="39:40">
      <c r="AM95" s="170" t="s">
        <v>399</v>
      </c>
      <c r="AN95" s="391">
        <v>8.7280299999999995E-3</v>
      </c>
    </row>
    <row r="96" spans="39:40">
      <c r="AM96" s="170" t="s">
        <v>398</v>
      </c>
      <c r="AN96" s="391">
        <v>4.2932700000000001E-3</v>
      </c>
    </row>
    <row r="97" spans="39:40">
      <c r="AM97" s="170" t="s">
        <v>397</v>
      </c>
      <c r="AN97" s="391">
        <v>2.0042300000000001E-3</v>
      </c>
    </row>
    <row r="98" spans="39:40">
      <c r="AM98" s="170" t="s">
        <v>396</v>
      </c>
      <c r="AN98" s="391">
        <v>9.7890700000000004E-3</v>
      </c>
    </row>
    <row r="99" spans="39:40">
      <c r="AM99" s="170" t="s">
        <v>395</v>
      </c>
      <c r="AN99" s="391">
        <v>1.7975000000000001E-3</v>
      </c>
    </row>
    <row r="100" spans="39:40">
      <c r="AM100" s="170" t="s">
        <v>394</v>
      </c>
      <c r="AN100" s="391">
        <v>5.1582499999999996E-3</v>
      </c>
    </row>
    <row r="101" spans="39:40">
      <c r="AM101" s="170" t="s">
        <v>393</v>
      </c>
      <c r="AN101" s="391">
        <v>8.5111000000000006E-3</v>
      </c>
    </row>
    <row r="102" spans="39:40">
      <c r="AM102" s="170" t="s">
        <v>392</v>
      </c>
      <c r="AN102" s="391">
        <v>4.0891499999999997E-3</v>
      </c>
    </row>
    <row r="103" spans="39:40">
      <c r="AM103" s="170" t="s">
        <v>391</v>
      </c>
      <c r="AN103" s="391">
        <v>6.2695800000000003E-3</v>
      </c>
    </row>
    <row r="104" spans="39:40">
      <c r="AM104" s="170" t="s">
        <v>390</v>
      </c>
      <c r="AN104" s="391">
        <v>3.3774500000000002E-3</v>
      </c>
    </row>
    <row r="105" spans="39:40">
      <c r="AM105" s="170" t="s">
        <v>389</v>
      </c>
      <c r="AN105" s="391">
        <v>3.7133700000000001E-3</v>
      </c>
    </row>
    <row r="106" spans="39:40">
      <c r="AM106" s="170" t="s">
        <v>388</v>
      </c>
      <c r="AN106" s="391">
        <v>2.5155099999999999E-3</v>
      </c>
    </row>
    <row r="107" spans="39:40">
      <c r="AM107" s="170" t="s">
        <v>387</v>
      </c>
      <c r="AN107" s="391">
        <v>2.8065299999999998E-3</v>
      </c>
    </row>
    <row r="108" spans="39:40">
      <c r="AM108" s="170" t="s">
        <v>386</v>
      </c>
      <c r="AN108" s="391">
        <v>3.96116E-3</v>
      </c>
    </row>
    <row r="109" spans="39:40">
      <c r="AM109" s="170" t="s">
        <v>385</v>
      </c>
      <c r="AN109" s="391">
        <v>6.2714900000000002E-3</v>
      </c>
    </row>
    <row r="110" spans="39:40">
      <c r="AM110" s="170" t="s">
        <v>384</v>
      </c>
      <c r="AN110" s="391">
        <v>1.7120900000000001E-3</v>
      </c>
    </row>
    <row r="111" spans="39:40">
      <c r="AM111" s="170" t="s">
        <v>383</v>
      </c>
      <c r="AN111" s="391">
        <v>3.7578099999999999E-3</v>
      </c>
    </row>
    <row r="112" spans="39:40">
      <c r="AM112" s="170" t="s">
        <v>382</v>
      </c>
      <c r="AN112" s="391">
        <v>4.8461700000000003E-3</v>
      </c>
    </row>
    <row r="113" spans="39:40">
      <c r="AM113" s="170" t="s">
        <v>381</v>
      </c>
      <c r="AN113" s="391">
        <v>4.5264700000000003E-3</v>
      </c>
    </row>
    <row r="114" spans="39:40">
      <c r="AM114" s="170" t="s">
        <v>380</v>
      </c>
      <c r="AN114" s="391">
        <v>7.8567900000000006E-3</v>
      </c>
    </row>
    <row r="115" spans="39:40">
      <c r="AM115" s="170" t="s">
        <v>379</v>
      </c>
      <c r="AN115" s="391">
        <v>8.5016299999999996E-3</v>
      </c>
    </row>
    <row r="116" spans="39:40">
      <c r="AM116" s="170" t="s">
        <v>378</v>
      </c>
      <c r="AN116" s="391">
        <v>2.3842199999999998E-3</v>
      </c>
    </row>
    <row r="117" spans="39:40">
      <c r="AM117" s="170" t="s">
        <v>377</v>
      </c>
      <c r="AN117" s="391">
        <v>7.5160299999999999E-3</v>
      </c>
    </row>
    <row r="118" spans="39:40">
      <c r="AM118" s="170" t="s">
        <v>376</v>
      </c>
      <c r="AN118" s="391">
        <v>7.4983599999999999E-3</v>
      </c>
    </row>
    <row r="119" spans="39:40">
      <c r="AM119" s="170" t="s">
        <v>375</v>
      </c>
      <c r="AN119" s="391">
        <v>2E-8</v>
      </c>
    </row>
    <row r="120" spans="39:40">
      <c r="AM120" s="170" t="s">
        <v>374</v>
      </c>
      <c r="AN120" s="391">
        <v>5.6849200000000004E-3</v>
      </c>
    </row>
    <row r="121" spans="39:40">
      <c r="AM121" s="170" t="s">
        <v>373</v>
      </c>
      <c r="AN121" s="391">
        <v>1.91909E-3</v>
      </c>
    </row>
    <row r="122" spans="39:40">
      <c r="AM122" s="170" t="s">
        <v>372</v>
      </c>
      <c r="AN122" s="391">
        <v>6.1330899999999999E-3</v>
      </c>
    </row>
    <row r="123" spans="39:40">
      <c r="AM123" s="170" t="s">
        <v>371</v>
      </c>
      <c r="AN123" s="391">
        <v>7.5727499999999996E-3</v>
      </c>
    </row>
    <row r="124" spans="39:40">
      <c r="AM124" s="170" t="s">
        <v>370</v>
      </c>
      <c r="AN124" s="391">
        <v>1.0901889999999999E-2</v>
      </c>
    </row>
    <row r="125" spans="39:40">
      <c r="AM125" s="170" t="s">
        <v>369</v>
      </c>
      <c r="AN125" s="391">
        <v>8.0638800000000007E-3</v>
      </c>
    </row>
    <row r="126" spans="39:40">
      <c r="AM126" s="170" t="s">
        <v>368</v>
      </c>
      <c r="AN126" s="391">
        <v>2.6929300000000001E-3</v>
      </c>
    </row>
    <row r="127" spans="39:40">
      <c r="AM127" s="170" t="s">
        <v>367</v>
      </c>
      <c r="AN127" s="391">
        <v>8.1669800000000008E-3</v>
      </c>
    </row>
    <row r="128" spans="39:40">
      <c r="AM128" s="170" t="s">
        <v>366</v>
      </c>
      <c r="AN128" s="391">
        <v>3.6209100000000002E-3</v>
      </c>
    </row>
    <row r="129" spans="39:40">
      <c r="AM129" s="170" t="s">
        <v>365</v>
      </c>
      <c r="AN129" s="391">
        <v>7.7644000000000003E-3</v>
      </c>
    </row>
    <row r="130" spans="39:40">
      <c r="AM130" s="170" t="s">
        <v>364</v>
      </c>
      <c r="AN130" s="391">
        <v>6.79308E-3</v>
      </c>
    </row>
    <row r="131" spans="39:40">
      <c r="AM131" s="170" t="s">
        <v>363</v>
      </c>
      <c r="AN131" s="391">
        <v>6.1571400000000002E-3</v>
      </c>
    </row>
    <row r="132" spans="39:40">
      <c r="AM132" s="170" t="s">
        <v>362</v>
      </c>
      <c r="AN132" s="391">
        <v>8.1312799999999994E-3</v>
      </c>
    </row>
    <row r="133" spans="39:40">
      <c r="AM133" s="170" t="s">
        <v>361</v>
      </c>
      <c r="AN133" s="391">
        <v>3.5755399999999999E-3</v>
      </c>
    </row>
    <row r="134" spans="39:40">
      <c r="AM134" s="170" t="s">
        <v>360</v>
      </c>
      <c r="AN134" s="391">
        <v>6.4667600000000002E-3</v>
      </c>
    </row>
    <row r="135" spans="39:40">
      <c r="AM135" s="170" t="s">
        <v>359</v>
      </c>
      <c r="AN135" s="391">
        <v>2.5710500000000001E-3</v>
      </c>
    </row>
    <row r="136" spans="39:40">
      <c r="AM136" s="170" t="s">
        <v>358</v>
      </c>
      <c r="AN136" s="391">
        <v>5.9931899999999998E-3</v>
      </c>
    </row>
    <row r="137" spans="39:40">
      <c r="AM137" s="170" t="s">
        <v>357</v>
      </c>
      <c r="AN137" s="391">
        <v>4.9050400000000003E-3</v>
      </c>
    </row>
    <row r="138" spans="39:40">
      <c r="AM138" s="170" t="s">
        <v>356</v>
      </c>
      <c r="AN138" s="391">
        <v>3.4302099999999999E-3</v>
      </c>
    </row>
    <row r="139" spans="39:40">
      <c r="AM139" s="170" t="s">
        <v>355</v>
      </c>
      <c r="AN139" s="391">
        <v>9.7164399999999998E-3</v>
      </c>
    </row>
    <row r="140" spans="39:40">
      <c r="AM140" s="170" t="s">
        <v>354</v>
      </c>
      <c r="AN140" s="391">
        <v>4.6805199999999996E-3</v>
      </c>
    </row>
    <row r="141" spans="39:40">
      <c r="AM141" s="170" t="s">
        <v>353</v>
      </c>
      <c r="AN141" s="391">
        <v>4.4928600000000004E-3</v>
      </c>
    </row>
    <row r="142" spans="39:40">
      <c r="AM142" s="170" t="s">
        <v>352</v>
      </c>
      <c r="AN142" s="391">
        <v>9.2615200000000005E-3</v>
      </c>
    </row>
    <row r="143" spans="39:40">
      <c r="AM143" s="170" t="s">
        <v>351</v>
      </c>
      <c r="AN143" s="391">
        <v>1.8973499999999999E-3</v>
      </c>
    </row>
    <row r="144" spans="39:40">
      <c r="AM144" s="170" t="s">
        <v>350</v>
      </c>
      <c r="AN144" s="391">
        <v>1.741024E-2</v>
      </c>
    </row>
    <row r="145" spans="39:40">
      <c r="AM145" s="170" t="s">
        <v>349</v>
      </c>
      <c r="AN145" s="391">
        <v>4.0141600000000001E-3</v>
      </c>
    </row>
    <row r="146" spans="39:40">
      <c r="AM146" s="170" t="s">
        <v>348</v>
      </c>
      <c r="AN146" s="391">
        <v>3.0620399999999998E-3</v>
      </c>
    </row>
    <row r="147" spans="39:40">
      <c r="AM147" s="170" t="s">
        <v>347</v>
      </c>
      <c r="AN147" s="391">
        <v>1.288824E-2</v>
      </c>
    </row>
    <row r="148" spans="39:40">
      <c r="AM148" s="170" t="s">
        <v>346</v>
      </c>
      <c r="AN148" s="391">
        <v>4.1725099999999999E-3</v>
      </c>
    </row>
    <row r="149" spans="39:40">
      <c r="AM149" s="170" t="s">
        <v>345</v>
      </c>
      <c r="AN149" s="391">
        <v>7.4608699999999997E-3</v>
      </c>
    </row>
    <row r="150" spans="39:40">
      <c r="AM150" s="170" t="s">
        <v>344</v>
      </c>
      <c r="AN150" s="391">
        <v>3.1401900000000002E-3</v>
      </c>
    </row>
    <row r="151" spans="39:40">
      <c r="AM151" s="170" t="s">
        <v>343</v>
      </c>
      <c r="AN151" s="391">
        <v>7.7132399999999997E-3</v>
      </c>
    </row>
    <row r="152" spans="39:40">
      <c r="AM152" s="170" t="s">
        <v>342</v>
      </c>
      <c r="AN152" s="391">
        <v>1.035265E-2</v>
      </c>
    </row>
    <row r="153" spans="39:40">
      <c r="AM153" s="170" t="s">
        <v>341</v>
      </c>
      <c r="AN153" s="391">
        <v>3.2672999999999999E-3</v>
      </c>
    </row>
    <row r="154" spans="39:40">
      <c r="AM154" s="170" t="s">
        <v>340</v>
      </c>
      <c r="AN154" s="391">
        <v>4.0809699999999997E-3</v>
      </c>
    </row>
    <row r="155" spans="39:40">
      <c r="AM155" s="170" t="s">
        <v>339</v>
      </c>
      <c r="AN155" s="391">
        <v>3.6921200000000001E-3</v>
      </c>
    </row>
    <row r="156" spans="39:40">
      <c r="AM156" s="170" t="s">
        <v>338</v>
      </c>
      <c r="AN156" s="391">
        <v>1.013346E-2</v>
      </c>
    </row>
    <row r="157" spans="39:40">
      <c r="AM157" s="170" t="s">
        <v>337</v>
      </c>
      <c r="AN157" s="391">
        <v>1.2160580000000001E-2</v>
      </c>
    </row>
    <row r="158" spans="39:40">
      <c r="AM158" s="170" t="s">
        <v>336</v>
      </c>
      <c r="AN158" s="391">
        <v>1.9263800000000001E-3</v>
      </c>
    </row>
    <row r="159" spans="39:40">
      <c r="AM159" s="170" t="s">
        <v>335</v>
      </c>
      <c r="AN159" s="391">
        <v>7.0400799999999998E-3</v>
      </c>
    </row>
    <row r="160" spans="39:40">
      <c r="AM160" s="170" t="s">
        <v>334</v>
      </c>
      <c r="AN160" s="391">
        <v>3.0439099999999999E-3</v>
      </c>
    </row>
    <row r="161" spans="39:40">
      <c r="AM161" s="170" t="s">
        <v>333</v>
      </c>
      <c r="AN161" s="391">
        <v>7.0176500000000003E-3</v>
      </c>
    </row>
    <row r="162" spans="39:40">
      <c r="AM162" s="170" t="s">
        <v>332</v>
      </c>
      <c r="AN162" s="391">
        <v>1.5626959999999999E-2</v>
      </c>
    </row>
  </sheetData>
  <mergeCells count="6">
    <mergeCell ref="A38:B38"/>
    <mergeCell ref="G1:H1"/>
    <mergeCell ref="D1:E1"/>
    <mergeCell ref="D3:E3"/>
    <mergeCell ref="K1:L1"/>
    <mergeCell ref="Q1:R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outlinePr showOutlineSymbols="0"/>
  </sheetPr>
  <dimension ref="A1:M60"/>
  <sheetViews>
    <sheetView showGridLines="0" showOutlineSymbols="0" zoomScale="55" zoomScaleNormal="55" workbookViewId="0">
      <selection sqref="A1:M1"/>
    </sheetView>
  </sheetViews>
  <sheetFormatPr baseColWidth="10" defaultRowHeight="15" outlineLevelRow="1"/>
  <cols>
    <col min="1" max="1" width="30.7109375" customWidth="1"/>
    <col min="2" max="2" width="18.42578125" customWidth="1"/>
    <col min="3" max="3" width="17.5703125" customWidth="1"/>
    <col min="4" max="4" width="18" customWidth="1"/>
    <col min="5" max="5" width="18.42578125" customWidth="1"/>
    <col min="6" max="6" width="17.85546875" customWidth="1"/>
    <col min="7" max="7" width="12.7109375" customWidth="1"/>
    <col min="8" max="8" width="16.7109375" customWidth="1"/>
    <col min="9" max="9" width="21.5703125" customWidth="1"/>
    <col min="10" max="13" width="12.7109375" customWidth="1"/>
  </cols>
  <sheetData>
    <row r="1" spans="1:13" ht="21" outlineLevel="1">
      <c r="A1" s="373" t="s">
        <v>23</v>
      </c>
      <c r="B1" s="373"/>
      <c r="C1" s="373"/>
      <c r="D1" s="373"/>
      <c r="E1" s="373"/>
      <c r="F1" s="373"/>
      <c r="G1" s="373"/>
      <c r="H1" s="373"/>
      <c r="I1" s="373"/>
      <c r="J1" s="373"/>
      <c r="K1" s="373"/>
      <c r="L1" s="373"/>
      <c r="M1" s="373"/>
    </row>
    <row r="2" spans="1:13" outlineLevel="1"/>
    <row r="3" spans="1:13" outlineLevel="1">
      <c r="A3" s="100" t="s">
        <v>286</v>
      </c>
      <c r="B3" s="99"/>
      <c r="C3" s="99"/>
      <c r="D3" s="99"/>
      <c r="E3" s="99"/>
      <c r="F3" s="99"/>
      <c r="G3" s="99"/>
      <c r="H3" s="99"/>
      <c r="I3" s="99"/>
      <c r="J3" s="99"/>
      <c r="K3" s="99"/>
      <c r="L3" s="99"/>
      <c r="M3" s="99"/>
    </row>
    <row r="4" spans="1:13" outlineLevel="1">
      <c r="A4" s="138" t="s">
        <v>58</v>
      </c>
      <c r="B4" s="138" t="s">
        <v>57</v>
      </c>
      <c r="C4" s="138" t="s">
        <v>56</v>
      </c>
      <c r="D4" s="138" t="s">
        <v>55</v>
      </c>
      <c r="E4" s="138" t="s">
        <v>54</v>
      </c>
      <c r="F4" s="138" t="s">
        <v>53</v>
      </c>
      <c r="G4" s="138" t="s">
        <v>52</v>
      </c>
      <c r="H4" s="138" t="s">
        <v>51</v>
      </c>
      <c r="I4" s="138" t="s">
        <v>50</v>
      </c>
      <c r="J4" s="138" t="s">
        <v>49</v>
      </c>
      <c r="K4" s="138" t="s">
        <v>48</v>
      </c>
      <c r="L4" s="138" t="s">
        <v>47</v>
      </c>
      <c r="M4" s="138" t="s">
        <v>46</v>
      </c>
    </row>
    <row r="5" spans="1:13" outlineLevel="1">
      <c r="A5" s="137">
        <v>0.26184099999999999</v>
      </c>
      <c r="B5" s="137">
        <v>1.7188840000000001</v>
      </c>
      <c r="C5" s="137">
        <v>2.3023729999999998</v>
      </c>
      <c r="D5" s="137">
        <v>3.6132110000000002</v>
      </c>
      <c r="E5" s="137">
        <v>3.7477429999999998</v>
      </c>
      <c r="F5" s="137">
        <v>6.6519209999999998</v>
      </c>
      <c r="G5" s="137">
        <v>3.1228829999999999</v>
      </c>
      <c r="H5" s="137">
        <v>18.613337999999999</v>
      </c>
      <c r="I5" s="137">
        <v>3.450129</v>
      </c>
      <c r="J5" s="137">
        <v>28.253374000000001</v>
      </c>
      <c r="K5" s="137">
        <v>4.3894320000000002</v>
      </c>
      <c r="L5" s="137">
        <v>24.215247000000002</v>
      </c>
      <c r="M5" s="137">
        <v>5.0415460000000003</v>
      </c>
    </row>
    <row r="6" spans="1:13" outlineLevel="1"/>
    <row r="7" spans="1:13" outlineLevel="1">
      <c r="A7" s="139" t="s">
        <v>123</v>
      </c>
      <c r="B7" s="139"/>
      <c r="C7" s="139"/>
      <c r="D7" s="139"/>
      <c r="E7" s="139"/>
      <c r="F7" s="139"/>
      <c r="G7" s="139"/>
      <c r="H7" s="139"/>
      <c r="I7" s="139"/>
      <c r="J7" s="139"/>
      <c r="K7" s="139"/>
      <c r="L7" s="139"/>
      <c r="M7" s="139"/>
    </row>
    <row r="8" spans="1:13" outlineLevel="1">
      <c r="A8" s="138" t="s">
        <v>58</v>
      </c>
      <c r="B8" s="138" t="s">
        <v>57</v>
      </c>
      <c r="C8" s="138" t="s">
        <v>56</v>
      </c>
      <c r="D8" s="138" t="s">
        <v>55</v>
      </c>
      <c r="E8" s="138" t="s">
        <v>54</v>
      </c>
      <c r="F8" s="138" t="s">
        <v>53</v>
      </c>
      <c r="G8" s="138" t="s">
        <v>52</v>
      </c>
      <c r="H8" s="138" t="s">
        <v>51</v>
      </c>
      <c r="I8" s="138" t="s">
        <v>50</v>
      </c>
      <c r="J8" s="138" t="s">
        <v>49</v>
      </c>
      <c r="K8" s="138" t="s">
        <v>48</v>
      </c>
      <c r="L8" s="138" t="s">
        <v>47</v>
      </c>
      <c r="M8" s="138" t="s">
        <v>46</v>
      </c>
    </row>
    <row r="9" spans="1:13" outlineLevel="1">
      <c r="A9" s="137">
        <v>0.10273</v>
      </c>
      <c r="B9" s="137">
        <v>1.6802569999999999</v>
      </c>
      <c r="C9" s="137">
        <v>2.2541799999999999</v>
      </c>
      <c r="D9" s="137">
        <v>3.977236</v>
      </c>
      <c r="E9" s="137">
        <v>3.1214249999999999</v>
      </c>
      <c r="F9" s="137">
        <v>6.7999619999999998</v>
      </c>
      <c r="G9" s="137">
        <v>2.6585269999999999</v>
      </c>
      <c r="H9" s="137">
        <v>19.243694999999999</v>
      </c>
      <c r="I9" s="137">
        <v>2.9420799999999998</v>
      </c>
      <c r="J9" s="137">
        <v>26.942018000000001</v>
      </c>
      <c r="K9" s="137">
        <v>3.9174920000000002</v>
      </c>
      <c r="L9" s="137">
        <v>21.965882000000001</v>
      </c>
      <c r="M9" s="137">
        <v>4.6725440000000003</v>
      </c>
    </row>
    <row r="10" spans="1:13" outlineLevel="1"/>
    <row r="11" spans="1:13" outlineLevel="1"/>
    <row r="12" spans="1:13" ht="21" outlineLevel="1">
      <c r="A12" s="373" t="s">
        <v>24</v>
      </c>
      <c r="B12" s="373"/>
      <c r="C12" s="373"/>
      <c r="D12" s="373"/>
      <c r="E12" s="373"/>
      <c r="F12" s="373"/>
      <c r="G12" s="373"/>
      <c r="H12" s="373"/>
      <c r="I12" s="373"/>
      <c r="J12" s="373"/>
      <c r="K12" s="373"/>
      <c r="L12" s="373"/>
      <c r="M12" s="373"/>
    </row>
    <row r="13" spans="1:13" outlineLevel="1">
      <c r="A13" s="83" t="str">
        <f>RIGHT(A15,4)</f>
        <v>2018</v>
      </c>
      <c r="B13" s="83" t="str">
        <f t="shared" ref="B13:M13" si="0">RIGHT(B15,4)</f>
        <v>2019</v>
      </c>
      <c r="C13" s="83" t="str">
        <f t="shared" si="0"/>
        <v>2021</v>
      </c>
      <c r="D13" s="83" t="str">
        <f t="shared" si="0"/>
        <v>2022</v>
      </c>
      <c r="E13" s="83" t="str">
        <f t="shared" si="0"/>
        <v>2023</v>
      </c>
      <c r="F13" s="83" t="str">
        <f t="shared" si="0"/>
        <v>2024</v>
      </c>
      <c r="G13" s="83" t="str">
        <f t="shared" si="0"/>
        <v/>
      </c>
      <c r="H13" s="83" t="str">
        <f t="shared" si="0"/>
        <v/>
      </c>
      <c r="I13" s="83" t="str">
        <f t="shared" si="0"/>
        <v/>
      </c>
      <c r="J13" s="83" t="str">
        <f t="shared" si="0"/>
        <v/>
      </c>
      <c r="K13" s="83" t="str">
        <f t="shared" si="0"/>
        <v/>
      </c>
      <c r="L13" s="83" t="str">
        <f t="shared" si="0"/>
        <v/>
      </c>
      <c r="M13" s="83" t="str">
        <f t="shared" si="0"/>
        <v/>
      </c>
    </row>
    <row r="14" spans="1:13" outlineLevel="1">
      <c r="A14" s="100" t="s">
        <v>286</v>
      </c>
      <c r="B14" s="99"/>
      <c r="C14" s="99"/>
      <c r="D14" s="99"/>
      <c r="E14" s="99"/>
      <c r="F14" s="99"/>
      <c r="G14" s="130"/>
      <c r="H14" s="130"/>
    </row>
    <row r="15" spans="1:13" outlineLevel="1">
      <c r="A15" s="138" t="s">
        <v>210</v>
      </c>
      <c r="B15" s="138" t="s">
        <v>231</v>
      </c>
      <c r="C15" s="138" t="s">
        <v>246</v>
      </c>
      <c r="D15" s="138" t="s">
        <v>248</v>
      </c>
      <c r="E15" s="138" t="s">
        <v>254</v>
      </c>
      <c r="F15" s="138" t="s">
        <v>265</v>
      </c>
      <c r="G15" s="130"/>
      <c r="H15" s="130"/>
    </row>
    <row r="16" spans="1:13" outlineLevel="1">
      <c r="A16" s="137">
        <v>-2.8357619999999999</v>
      </c>
      <c r="B16" s="137">
        <v>8.6745029999999996</v>
      </c>
      <c r="C16" s="137">
        <v>2.795115</v>
      </c>
      <c r="D16" s="137">
        <v>-9.5652939999999997</v>
      </c>
      <c r="E16" s="137">
        <v>12.902597999999999</v>
      </c>
      <c r="F16" s="137">
        <v>8.2909590000000009</v>
      </c>
      <c r="G16" s="130"/>
      <c r="H16" s="130"/>
    </row>
    <row r="17" spans="1:13" outlineLevel="1"/>
    <row r="18" spans="1:13" outlineLevel="1">
      <c r="A18" s="83" t="str">
        <f>RIGHT(A20,4)</f>
        <v>2019</v>
      </c>
      <c r="B18" s="83" t="str">
        <f t="shared" ref="B18:M18" si="1">RIGHT(B20,4)</f>
        <v>2020</v>
      </c>
      <c r="C18" s="83" t="str">
        <f t="shared" si="1"/>
        <v>2021</v>
      </c>
      <c r="D18" s="83" t="str">
        <f t="shared" si="1"/>
        <v>2022</v>
      </c>
      <c r="E18" s="83" t="str">
        <f t="shared" si="1"/>
        <v>2023</v>
      </c>
      <c r="F18" s="83" t="str">
        <f t="shared" si="1"/>
        <v>2024</v>
      </c>
      <c r="G18" s="83" t="str">
        <f t="shared" si="1"/>
        <v/>
      </c>
      <c r="H18" s="83" t="str">
        <f t="shared" si="1"/>
        <v/>
      </c>
      <c r="I18" s="83" t="str">
        <f t="shared" si="1"/>
        <v/>
      </c>
      <c r="J18" s="83" t="str">
        <f t="shared" si="1"/>
        <v/>
      </c>
      <c r="K18" s="83" t="str">
        <f t="shared" si="1"/>
        <v/>
      </c>
      <c r="L18" s="83" t="str">
        <f t="shared" si="1"/>
        <v/>
      </c>
      <c r="M18" s="83" t="str">
        <f t="shared" si="1"/>
        <v/>
      </c>
    </row>
    <row r="19" spans="1:13" outlineLevel="1">
      <c r="A19" s="139" t="s">
        <v>123</v>
      </c>
      <c r="B19" s="139"/>
      <c r="C19" s="139"/>
      <c r="D19" s="139"/>
      <c r="E19" s="139"/>
      <c r="F19" s="139"/>
      <c r="G19" s="130"/>
      <c r="H19" s="130"/>
    </row>
    <row r="20" spans="1:13" outlineLevel="1">
      <c r="A20" s="138" t="s">
        <v>231</v>
      </c>
      <c r="B20" s="138" t="s">
        <v>243</v>
      </c>
      <c r="C20" s="138" t="s">
        <v>246</v>
      </c>
      <c r="D20" s="138" t="s">
        <v>248</v>
      </c>
      <c r="E20" s="138" t="s">
        <v>254</v>
      </c>
      <c r="F20" s="138" t="s">
        <v>265</v>
      </c>
      <c r="G20" s="130"/>
      <c r="H20" s="130"/>
    </row>
    <row r="21" spans="1:13" outlineLevel="1">
      <c r="A21" s="137">
        <v>10.458527</v>
      </c>
      <c r="B21" s="137">
        <v>2.5837340000000002</v>
      </c>
      <c r="C21" s="137">
        <v>3.4890759999999998</v>
      </c>
      <c r="D21" s="137">
        <v>-11.156803</v>
      </c>
      <c r="E21" s="137">
        <v>12.084180999999999</v>
      </c>
      <c r="F21" s="137">
        <v>8.4613800000000001</v>
      </c>
      <c r="G21" s="130"/>
      <c r="H21" s="130"/>
    </row>
    <row r="22" spans="1:13" s="129" customFormat="1" outlineLevel="1">
      <c r="A22" s="137"/>
      <c r="B22" s="137"/>
      <c r="C22" s="137"/>
      <c r="D22" s="137"/>
      <c r="E22" s="137"/>
      <c r="F22" s="137"/>
    </row>
    <row r="23" spans="1:13" outlineLevel="1"/>
    <row r="24" spans="1:13" ht="21" outlineLevel="1">
      <c r="A24" s="373" t="s">
        <v>25</v>
      </c>
      <c r="B24" s="373"/>
      <c r="C24" s="373"/>
      <c r="D24" s="373"/>
      <c r="E24" s="373"/>
      <c r="F24" s="373"/>
      <c r="G24" s="373"/>
      <c r="H24" s="373"/>
      <c r="I24" s="373"/>
      <c r="J24" s="373"/>
      <c r="K24" s="373"/>
      <c r="L24" s="373"/>
      <c r="M24" s="373"/>
    </row>
    <row r="25" spans="1:13" outlineLevel="1"/>
    <row r="26" spans="1:13" outlineLevel="1">
      <c r="A26" s="140" t="s">
        <v>123</v>
      </c>
      <c r="B26" s="140"/>
      <c r="C26" s="140"/>
      <c r="D26" s="140"/>
    </row>
    <row r="27" spans="1:13" outlineLevel="1">
      <c r="A27" s="138" t="s">
        <v>62</v>
      </c>
      <c r="B27" s="138" t="s">
        <v>61</v>
      </c>
      <c r="C27" s="138" t="s">
        <v>60</v>
      </c>
      <c r="D27" s="138" t="s">
        <v>59</v>
      </c>
    </row>
    <row r="28" spans="1:13" s="95" customFormat="1" outlineLevel="1">
      <c r="A28" s="137">
        <v>30.19</v>
      </c>
      <c r="B28" s="137">
        <v>28.572571</v>
      </c>
      <c r="C28" s="137">
        <v>6.9829129999999999</v>
      </c>
      <c r="D28" s="137">
        <v>6.7987359999999999</v>
      </c>
    </row>
    <row r="29" spans="1:13" s="129" customFormat="1" outlineLevel="1">
      <c r="A29" s="137"/>
      <c r="B29" s="137"/>
      <c r="C29" s="137"/>
      <c r="D29" s="137"/>
    </row>
    <row r="30" spans="1:13" s="95" customFormat="1" outlineLevel="1"/>
    <row r="31" spans="1:13" ht="21" outlineLevel="1">
      <c r="A31" s="373" t="s">
        <v>27</v>
      </c>
      <c r="B31" s="373"/>
      <c r="C31" s="373"/>
      <c r="D31" s="373"/>
      <c r="E31" s="373"/>
      <c r="F31" s="373"/>
      <c r="G31" s="373"/>
      <c r="H31" s="373"/>
      <c r="I31" s="373"/>
      <c r="J31" s="373"/>
      <c r="K31" s="373"/>
      <c r="L31" s="373"/>
      <c r="M31" s="373"/>
    </row>
    <row r="32" spans="1:13" outlineLevel="1"/>
    <row r="33" spans="1:13" outlineLevel="1">
      <c r="A33" s="100" t="s">
        <v>286</v>
      </c>
      <c r="B33" s="99"/>
      <c r="C33" s="99"/>
      <c r="D33" s="99"/>
      <c r="E33" s="99"/>
      <c r="F33" s="99"/>
      <c r="G33" s="99"/>
      <c r="H33" s="99"/>
      <c r="I33" s="99"/>
    </row>
    <row r="34" spans="1:13" outlineLevel="1">
      <c r="A34" s="138" t="s">
        <v>227</v>
      </c>
      <c r="B34" s="138" t="s">
        <v>226</v>
      </c>
      <c r="C34" s="138" t="s">
        <v>8</v>
      </c>
      <c r="D34" s="138" t="s">
        <v>225</v>
      </c>
      <c r="E34" s="138" t="s">
        <v>224</v>
      </c>
      <c r="F34" s="138" t="s">
        <v>223</v>
      </c>
      <c r="G34" s="138" t="s">
        <v>222</v>
      </c>
      <c r="H34" s="138" t="s">
        <v>221</v>
      </c>
      <c r="I34" s="138" t="s">
        <v>220</v>
      </c>
    </row>
    <row r="35" spans="1:13" outlineLevel="1">
      <c r="A35" s="137">
        <v>1.106282</v>
      </c>
      <c r="B35" s="137">
        <v>-1.7644E-2</v>
      </c>
      <c r="C35" s="137">
        <v>1.00543</v>
      </c>
      <c r="D35" s="137">
        <v>1.2284120000000001</v>
      </c>
      <c r="E35" s="137">
        <v>-0.20097000000000001</v>
      </c>
      <c r="F35" s="137">
        <v>78.431372999999994</v>
      </c>
      <c r="G35" s="137">
        <v>-3.0724499999999999</v>
      </c>
      <c r="H35" s="137">
        <v>6</v>
      </c>
      <c r="I35" s="137">
        <v>5</v>
      </c>
    </row>
    <row r="36" spans="1:13" outlineLevel="1"/>
    <row r="37" spans="1:13" outlineLevel="1"/>
    <row r="38" spans="1:13" ht="21" outlineLevel="1">
      <c r="A38" s="373" t="s">
        <v>26</v>
      </c>
      <c r="B38" s="373"/>
      <c r="C38" s="373"/>
      <c r="D38" s="373"/>
      <c r="E38" s="373"/>
      <c r="F38" s="373"/>
      <c r="G38" s="373"/>
      <c r="H38" s="373"/>
      <c r="I38" s="373"/>
      <c r="J38" s="373"/>
      <c r="K38" s="373"/>
      <c r="L38" s="373"/>
      <c r="M38" s="373"/>
    </row>
    <row r="39" spans="1:13" outlineLevel="1"/>
    <row r="40" spans="1:13" outlineLevel="1"/>
    <row r="41" spans="1:13" outlineLevel="1"/>
    <row r="42" spans="1:13" outlineLevel="1">
      <c r="A42" s="100" t="s">
        <v>286</v>
      </c>
      <c r="B42" s="99"/>
      <c r="C42" s="99"/>
      <c r="D42" s="99"/>
      <c r="E42" s="99"/>
      <c r="F42" s="99"/>
      <c r="G42" s="99"/>
      <c r="H42" s="99"/>
      <c r="I42" s="99"/>
      <c r="J42" s="99"/>
      <c r="K42" s="99"/>
      <c r="L42" s="99"/>
      <c r="M42" s="99"/>
    </row>
    <row r="43" spans="1:13" outlineLevel="1">
      <c r="A43" s="142" t="s">
        <v>4</v>
      </c>
      <c r="B43" s="138" t="s">
        <v>1</v>
      </c>
      <c r="C43" s="138" t="s">
        <v>145</v>
      </c>
      <c r="D43" s="138" t="s">
        <v>146</v>
      </c>
      <c r="E43" s="138" t="s">
        <v>147</v>
      </c>
      <c r="F43" s="138" t="s">
        <v>150</v>
      </c>
      <c r="G43" s="138" t="s">
        <v>148</v>
      </c>
      <c r="H43" s="138" t="s">
        <v>149</v>
      </c>
      <c r="I43" s="138" t="s">
        <v>182</v>
      </c>
      <c r="J43" s="138" t="s">
        <v>151</v>
      </c>
      <c r="K43" s="138" t="s">
        <v>2</v>
      </c>
      <c r="L43" s="138" t="s">
        <v>3</v>
      </c>
      <c r="M43" s="138" t="s">
        <v>152</v>
      </c>
    </row>
    <row r="44" spans="1:13" outlineLevel="1">
      <c r="A44" s="141" t="s">
        <v>243</v>
      </c>
      <c r="B44" s="137">
        <v>-7.4598999999999999E-2</v>
      </c>
      <c r="C44" s="137">
        <v>-1.7917129999999999</v>
      </c>
      <c r="D44" s="137">
        <v>-11.763588</v>
      </c>
      <c r="E44" s="137">
        <v>6.6013349999999997</v>
      </c>
      <c r="F44" s="137">
        <v>2.3537729999999999</v>
      </c>
      <c r="G44" s="137">
        <v>1.8456379999999999</v>
      </c>
      <c r="H44" s="137">
        <v>1.56992</v>
      </c>
      <c r="I44" s="137">
        <v>1.2880450000000001</v>
      </c>
      <c r="J44" s="137">
        <v>-1.0926899999999999</v>
      </c>
      <c r="K44" s="137">
        <v>0.238095</v>
      </c>
      <c r="L44" s="137">
        <v>3.942993</v>
      </c>
      <c r="M44" s="137">
        <v>1.051188</v>
      </c>
    </row>
    <row r="45" spans="1:13" outlineLevel="1">
      <c r="A45" s="141" t="s">
        <v>246</v>
      </c>
      <c r="B45" s="137">
        <v>0.32564500000000002</v>
      </c>
      <c r="C45" s="137">
        <v>0.36966900000000003</v>
      </c>
      <c r="D45" s="137">
        <v>0.70966600000000002</v>
      </c>
      <c r="E45" s="137">
        <v>0.57978799999999997</v>
      </c>
      <c r="F45" s="137">
        <v>4.4341999999999999E-2</v>
      </c>
      <c r="G45" s="137">
        <v>0.283663</v>
      </c>
      <c r="H45" s="137">
        <v>0.159109</v>
      </c>
      <c r="I45" s="137">
        <v>0.211808</v>
      </c>
      <c r="J45" s="137">
        <v>6.1647E-2</v>
      </c>
      <c r="K45" s="137">
        <v>-0.616089</v>
      </c>
      <c r="L45" s="137">
        <v>-0.56677299999999997</v>
      </c>
      <c r="M45" s="137">
        <v>1.2112579999999999</v>
      </c>
    </row>
    <row r="46" spans="1:13" outlineLevel="1">
      <c r="A46" s="141" t="s">
        <v>248</v>
      </c>
      <c r="B46" s="137">
        <v>-1.759944</v>
      </c>
      <c r="C46" s="137">
        <v>-3.09029</v>
      </c>
      <c r="D46" s="137">
        <v>1.0537019999999999</v>
      </c>
      <c r="E46" s="137">
        <v>-3.2196099999999999</v>
      </c>
      <c r="F46" s="137">
        <v>-0.98289400000000005</v>
      </c>
      <c r="G46" s="137">
        <v>-8.2657249999999998</v>
      </c>
      <c r="H46" s="137">
        <v>5.6185619999999998</v>
      </c>
      <c r="I46" s="137">
        <v>-0.72899199999999997</v>
      </c>
      <c r="J46" s="137">
        <v>-3.9793590000000001</v>
      </c>
      <c r="K46" s="137">
        <v>2.1496490000000001</v>
      </c>
      <c r="L46" s="137">
        <v>4.3909349999999998</v>
      </c>
      <c r="M46" s="137">
        <v>-0.39736399999999999</v>
      </c>
    </row>
    <row r="47" spans="1:13" outlineLevel="1">
      <c r="A47" s="141" t="s">
        <v>254</v>
      </c>
      <c r="B47" s="137">
        <v>3.0359050000000001</v>
      </c>
      <c r="C47" s="137">
        <v>-0.15110000000000001</v>
      </c>
      <c r="D47" s="137">
        <v>0.33103199999999999</v>
      </c>
      <c r="E47" s="137">
        <v>0.40535399999999999</v>
      </c>
      <c r="F47" s="137">
        <v>0.62904899999999997</v>
      </c>
      <c r="G47" s="137">
        <v>1.110282</v>
      </c>
      <c r="H47" s="137">
        <v>1.282643</v>
      </c>
      <c r="I47" s="137">
        <v>-0.11844</v>
      </c>
      <c r="J47" s="137">
        <v>-0.25540499999999999</v>
      </c>
      <c r="K47" s="137">
        <v>-0.34750799999999998</v>
      </c>
      <c r="L47" s="137">
        <v>3.514729</v>
      </c>
      <c r="M47" s="137">
        <v>2.8634750000000002</v>
      </c>
    </row>
    <row r="48" spans="1:13" outlineLevel="1">
      <c r="A48" s="141" t="s">
        <v>265</v>
      </c>
      <c r="B48" s="137">
        <v>0.68085799999999996</v>
      </c>
      <c r="C48" s="137">
        <v>0.231125</v>
      </c>
      <c r="D48" s="137">
        <v>0.72593700000000005</v>
      </c>
      <c r="E48" s="137">
        <v>-0.20349300000000001</v>
      </c>
      <c r="F48" s="137">
        <v>0.90909099999999998</v>
      </c>
      <c r="G48" s="137">
        <v>0.37046400000000002</v>
      </c>
      <c r="H48" s="137">
        <v>1.367335</v>
      </c>
      <c r="I48" s="137">
        <v>1.0178750000000001</v>
      </c>
      <c r="J48" s="137">
        <v>0.87654600000000005</v>
      </c>
      <c r="K48" s="137">
        <v>0.55221699999999996</v>
      </c>
      <c r="L48" s="137">
        <v>0.67032800000000003</v>
      </c>
      <c r="M48" s="137">
        <v>0.80224600000000001</v>
      </c>
    </row>
    <row r="49" spans="1:13" outlineLevel="1">
      <c r="A49" s="141" t="s">
        <v>490</v>
      </c>
      <c r="B49" s="137">
        <v>0.310386</v>
      </c>
      <c r="C49" s="137">
        <v>0.967947</v>
      </c>
      <c r="D49" s="137">
        <v>-1.642307</v>
      </c>
      <c r="E49" s="137">
        <v>0.83087</v>
      </c>
      <c r="F49" s="137">
        <v>1.4103479999999999</v>
      </c>
      <c r="G49" s="137">
        <v>0.46097399999999999</v>
      </c>
      <c r="H49" s="137">
        <v>0.98771200000000003</v>
      </c>
      <c r="I49" s="137">
        <v>0.26184099999999999</v>
      </c>
      <c r="J49" s="137"/>
      <c r="K49" s="137"/>
      <c r="L49" s="137"/>
      <c r="M49" s="137"/>
    </row>
    <row r="50" spans="1:13" outlineLevel="1"/>
    <row r="51" spans="1:13" outlineLevel="1"/>
    <row r="52" spans="1:13" outlineLevel="1"/>
    <row r="53" spans="1:13" outlineLevel="1"/>
    <row r="54" spans="1:13" outlineLevel="1"/>
    <row r="55" spans="1:13" outlineLevel="1"/>
    <row r="56" spans="1:13" ht="21" outlineLevel="1">
      <c r="A56" s="373" t="s">
        <v>28</v>
      </c>
      <c r="B56" s="373"/>
      <c r="C56" s="373"/>
      <c r="D56" s="373"/>
      <c r="E56" s="373"/>
      <c r="F56" s="373"/>
      <c r="G56" s="373"/>
      <c r="H56" s="373"/>
      <c r="I56" s="373"/>
      <c r="J56" s="373"/>
      <c r="K56" s="373"/>
      <c r="L56" s="373"/>
      <c r="M56" s="373"/>
    </row>
    <row r="57" spans="1:13" outlineLevel="1"/>
    <row r="58" spans="1:13" outlineLevel="1">
      <c r="A58" s="144" t="s">
        <v>10</v>
      </c>
      <c r="B58" s="145"/>
      <c r="C58" s="130"/>
      <c r="D58" s="144" t="s">
        <v>11</v>
      </c>
      <c r="E58" s="145"/>
    </row>
    <row r="59" spans="1:13" outlineLevel="1">
      <c r="A59" s="130" t="s">
        <v>162</v>
      </c>
      <c r="B59" s="52">
        <f>HLOOKUP("Perf 1 mois",$4:$5,2,FALSE)/100</f>
        <v>2.6184099999999998E-3</v>
      </c>
      <c r="C59" s="130"/>
      <c r="D59" s="130" t="s">
        <v>162</v>
      </c>
      <c r="E59" s="52">
        <f>HLOOKUP("Perf YTD",$4:$5,2,FALSE)/100</f>
        <v>3.6132110000000002E-2</v>
      </c>
    </row>
    <row r="60" spans="1:13" outlineLevel="1">
      <c r="A60" s="130" t="s">
        <v>163</v>
      </c>
      <c r="B60" s="52">
        <f>HLOOKUP("Perf 1 mois",$8:$9,2,FALSE)/100</f>
        <v>1.0273000000000001E-3</v>
      </c>
      <c r="C60" s="130"/>
      <c r="D60" s="130" t="s">
        <v>163</v>
      </c>
      <c r="E60" s="52">
        <f>HLOOKUP("Perf YTD",$8:$9,2,FALSE)/100</f>
        <v>3.977236E-2</v>
      </c>
    </row>
  </sheetData>
  <mergeCells count="6">
    <mergeCell ref="A56:M56"/>
    <mergeCell ref="A1:M1"/>
    <mergeCell ref="A12:M12"/>
    <mergeCell ref="A24:M24"/>
    <mergeCell ref="A38:M38"/>
    <mergeCell ref="A31:M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outlinePr showOutlineSymbols="0"/>
  </sheetPr>
  <dimension ref="A1:A32"/>
  <sheetViews>
    <sheetView showGridLines="0" showOutlineSymbols="0" workbookViewId="0"/>
  </sheetViews>
  <sheetFormatPr baseColWidth="10" defaultRowHeight="15" outlineLevelRow="1"/>
  <cols>
    <col min="1" max="1" width="10.7109375" customWidth="1"/>
    <col min="2" max="2" width="11" customWidth="1"/>
    <col min="3" max="3" width="13.7109375" customWidth="1"/>
  </cols>
  <sheetData>
    <row r="1" outlineLevel="1"/>
    <row r="2" outlineLevel="1"/>
    <row r="3" outlineLevel="1"/>
    <row r="4" outlineLevel="1"/>
    <row r="5" outlineLevel="1"/>
    <row r="6" outlineLevel="1"/>
    <row r="7" outlineLevel="1"/>
    <row r="8" outlineLevel="1"/>
    <row r="9" outlineLevel="1"/>
    <row r="10" outlineLevel="1"/>
    <row r="11" outlineLevel="1"/>
    <row r="12" outlineLevel="1"/>
    <row r="13" outlineLevel="1"/>
    <row r="14" outlineLevel="1"/>
    <row r="15" outlineLevel="1"/>
    <row r="16" outlineLevel="1"/>
    <row r="17" outlineLevel="1"/>
    <row r="18" outlineLevel="1"/>
    <row r="19" outlineLevel="1"/>
    <row r="20" outlineLevel="1"/>
    <row r="21" outlineLevel="1"/>
    <row r="22" outlineLevel="1"/>
    <row r="23" outlineLevel="1"/>
    <row r="24" outlineLevel="1"/>
    <row r="25" outlineLevel="1"/>
    <row r="26" outlineLevel="1"/>
    <row r="27" outlineLevel="1"/>
    <row r="28" outlineLevel="1"/>
    <row r="29" outlineLevel="1"/>
    <row r="30" outlineLevel="1"/>
    <row r="31" outlineLevel="1"/>
    <row r="32" outlineLevel="1"/>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outlinePr showOutlineSymbols="0"/>
  </sheetPr>
  <dimension ref="A1:AD192"/>
  <sheetViews>
    <sheetView showGridLines="0" showOutlineSymbols="0" zoomScale="70" zoomScaleNormal="70" workbookViewId="0"/>
  </sheetViews>
  <sheetFormatPr baseColWidth="10" defaultRowHeight="15" outlineLevelRow="1"/>
  <cols>
    <col min="1" max="1" width="11.5703125" customWidth="1"/>
    <col min="2" max="3" width="15.28515625" customWidth="1"/>
    <col min="4" max="4" width="55.140625" customWidth="1"/>
    <col min="5" max="5" width="10.85546875" customWidth="1"/>
    <col min="6" max="6" width="19.42578125" customWidth="1"/>
    <col min="7" max="7" width="17.5703125" customWidth="1"/>
    <col min="8" max="8" width="35.140625" customWidth="1"/>
    <col min="9" max="9" width="8.85546875" customWidth="1"/>
    <col min="10" max="10" width="10.7109375" customWidth="1"/>
    <col min="11" max="12" width="17.5703125" customWidth="1"/>
    <col min="13" max="13" width="9" customWidth="1"/>
    <col min="14" max="14" width="12" customWidth="1"/>
    <col min="15" max="15" width="22.42578125" customWidth="1"/>
    <col min="16" max="16" width="11.7109375" customWidth="1"/>
    <col min="17" max="17" width="19.7109375" customWidth="1"/>
    <col min="18" max="18" width="17" customWidth="1"/>
    <col min="19" max="19" width="14.28515625" customWidth="1"/>
    <col min="20" max="20" width="9.7109375" customWidth="1"/>
    <col min="21" max="21" width="8" customWidth="1"/>
    <col min="22" max="22" width="9" customWidth="1"/>
    <col min="23" max="23" width="8.85546875" customWidth="1"/>
    <col min="24" max="24" width="13.28515625" customWidth="1"/>
    <col min="25" max="25" width="18" customWidth="1"/>
    <col min="26" max="26" width="12.85546875" customWidth="1"/>
    <col min="27" max="27" width="11.5703125" customWidth="1"/>
    <col min="28" max="28" width="14.28515625" customWidth="1"/>
    <col min="29" max="29" width="23.42578125" customWidth="1"/>
    <col min="30" max="30" width="25.140625" customWidth="1"/>
  </cols>
  <sheetData>
    <row r="1" spans="1:30" outlineLevel="1">
      <c r="A1" s="100" t="s">
        <v>286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1:30">
      <c r="A2" s="389" t="s">
        <v>1062</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row>
    <row r="3" spans="1:30">
      <c r="A3" s="170" t="s">
        <v>40</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row>
    <row r="4" spans="1:30">
      <c r="A4" s="136" t="s">
        <v>1061</v>
      </c>
      <c r="B4" s="136" t="s">
        <v>1060</v>
      </c>
      <c r="C4" s="136" t="s">
        <v>1059</v>
      </c>
      <c r="D4" s="136" t="s">
        <v>1058</v>
      </c>
      <c r="E4" s="136" t="s">
        <v>1057</v>
      </c>
      <c r="F4" s="136" t="s">
        <v>1056</v>
      </c>
      <c r="G4" s="136" t="s">
        <v>1055</v>
      </c>
      <c r="H4" s="136" t="s">
        <v>1054</v>
      </c>
      <c r="I4" s="136" t="s">
        <v>320</v>
      </c>
      <c r="J4" s="136" t="s">
        <v>167</v>
      </c>
      <c r="K4" s="136" t="s">
        <v>317</v>
      </c>
      <c r="L4" s="136" t="s">
        <v>310</v>
      </c>
      <c r="M4" s="136" t="s">
        <v>1053</v>
      </c>
      <c r="N4" s="136" t="s">
        <v>1052</v>
      </c>
      <c r="O4" s="136" t="s">
        <v>1051</v>
      </c>
      <c r="P4" s="136" t="s">
        <v>1050</v>
      </c>
      <c r="Q4" s="136" t="s">
        <v>1049</v>
      </c>
      <c r="R4" s="136" t="s">
        <v>283</v>
      </c>
      <c r="S4" s="136" t="s">
        <v>1048</v>
      </c>
      <c r="T4" s="136" t="s">
        <v>1047</v>
      </c>
      <c r="U4" s="136" t="s">
        <v>44</v>
      </c>
      <c r="V4" s="136" t="s">
        <v>203</v>
      </c>
      <c r="W4" s="136" t="s">
        <v>34</v>
      </c>
      <c r="X4" s="136" t="s">
        <v>1046</v>
      </c>
      <c r="Y4" s="136" t="s">
        <v>1045</v>
      </c>
      <c r="Z4" s="136" t="s">
        <v>1044</v>
      </c>
      <c r="AA4" s="136" t="s">
        <v>1043</v>
      </c>
      <c r="AB4" s="136" t="s">
        <v>1042</v>
      </c>
      <c r="AC4" s="136" t="s">
        <v>1041</v>
      </c>
      <c r="AD4" s="136" t="s">
        <v>1040</v>
      </c>
    </row>
    <row r="5" spans="1:30">
      <c r="A5" s="170" t="s">
        <v>40</v>
      </c>
      <c r="B5" s="170" t="s">
        <v>1036</v>
      </c>
      <c r="C5" s="170" t="s">
        <v>40</v>
      </c>
      <c r="D5" s="170" t="s">
        <v>1039</v>
      </c>
      <c r="E5" s="170" t="s">
        <v>491</v>
      </c>
      <c r="F5" s="170" t="s">
        <v>40</v>
      </c>
      <c r="G5" s="170" t="s">
        <v>40</v>
      </c>
      <c r="H5" s="170" t="s">
        <v>40</v>
      </c>
      <c r="I5" s="170" t="s">
        <v>39</v>
      </c>
      <c r="J5" s="170" t="s">
        <v>40</v>
      </c>
      <c r="K5" s="170" t="s">
        <v>40</v>
      </c>
      <c r="L5" s="170" t="s">
        <v>40</v>
      </c>
      <c r="M5" s="175"/>
      <c r="N5" s="175"/>
      <c r="O5" s="175"/>
      <c r="P5" s="175"/>
      <c r="Q5" s="393">
        <v>525447607.44999999</v>
      </c>
      <c r="R5" s="390"/>
      <c r="S5" s="175"/>
      <c r="T5" s="175"/>
      <c r="U5" s="175"/>
      <c r="V5" s="175"/>
      <c r="W5" s="175">
        <v>0</v>
      </c>
      <c r="X5" s="175"/>
      <c r="Y5" s="175"/>
      <c r="Z5" s="175"/>
      <c r="AA5" s="175"/>
      <c r="AB5" s="175"/>
      <c r="AC5" s="175"/>
      <c r="AD5" s="175"/>
    </row>
    <row r="6" spans="1:30">
      <c r="A6" s="170" t="s">
        <v>40</v>
      </c>
      <c r="B6" s="170" t="s">
        <v>1036</v>
      </c>
      <c r="C6" s="170" t="s">
        <v>40</v>
      </c>
      <c r="D6" s="170" t="s">
        <v>1038</v>
      </c>
      <c r="E6" s="170" t="s">
        <v>491</v>
      </c>
      <c r="F6" s="170" t="s">
        <v>40</v>
      </c>
      <c r="G6" s="170" t="s">
        <v>40</v>
      </c>
      <c r="H6" s="170" t="s">
        <v>40</v>
      </c>
      <c r="I6" s="170" t="s">
        <v>1037</v>
      </c>
      <c r="J6" s="170" t="s">
        <v>40</v>
      </c>
      <c r="K6" s="170" t="s">
        <v>40</v>
      </c>
      <c r="L6" s="170" t="s">
        <v>40</v>
      </c>
      <c r="M6" s="175"/>
      <c r="N6" s="175"/>
      <c r="O6" s="175"/>
      <c r="P6" s="175"/>
      <c r="Q6" s="393">
        <v>525447607.44999999</v>
      </c>
      <c r="R6" s="390"/>
      <c r="S6" s="175"/>
      <c r="T6" s="175"/>
      <c r="U6" s="175"/>
      <c r="V6" s="175"/>
      <c r="W6" s="175">
        <v>0</v>
      </c>
      <c r="X6" s="175"/>
      <c r="Y6" s="175"/>
      <c r="Z6" s="175"/>
      <c r="AA6" s="175"/>
      <c r="AB6" s="175"/>
      <c r="AC6" s="175"/>
      <c r="AD6" s="175"/>
    </row>
    <row r="7" spans="1:30">
      <c r="A7" s="170" t="s">
        <v>40</v>
      </c>
      <c r="B7" s="170" t="s">
        <v>1036</v>
      </c>
      <c r="C7" s="170" t="s">
        <v>40</v>
      </c>
      <c r="D7" s="170" t="s">
        <v>1035</v>
      </c>
      <c r="E7" s="170" t="s">
        <v>491</v>
      </c>
      <c r="F7" s="170" t="s">
        <v>40</v>
      </c>
      <c r="G7" s="170" t="s">
        <v>40</v>
      </c>
      <c r="H7" s="170" t="s">
        <v>40</v>
      </c>
      <c r="I7" s="170" t="s">
        <v>319</v>
      </c>
      <c r="J7" s="170" t="s">
        <v>40</v>
      </c>
      <c r="K7" s="170" t="s">
        <v>40</v>
      </c>
      <c r="L7" s="170" t="s">
        <v>40</v>
      </c>
      <c r="M7" s="175"/>
      <c r="N7" s="175"/>
      <c r="O7" s="175"/>
      <c r="P7" s="175"/>
      <c r="Q7" s="393">
        <v>525447607.44999999</v>
      </c>
      <c r="R7" s="390"/>
      <c r="S7" s="175"/>
      <c r="T7" s="175"/>
      <c r="U7" s="175"/>
      <c r="V7" s="175"/>
      <c r="W7" s="175">
        <v>0</v>
      </c>
      <c r="X7" s="175"/>
      <c r="Y7" s="175"/>
      <c r="Z7" s="175"/>
      <c r="AA7" s="175"/>
      <c r="AB7" s="175"/>
      <c r="AC7" s="175"/>
      <c r="AD7" s="175"/>
    </row>
    <row r="8" spans="1:30">
      <c r="A8" s="170" t="s">
        <v>1030</v>
      </c>
      <c r="B8" s="170" t="s">
        <v>1029</v>
      </c>
      <c r="C8" s="170" t="s">
        <v>1034</v>
      </c>
      <c r="D8" s="170" t="s">
        <v>1033</v>
      </c>
      <c r="E8" s="170" t="s">
        <v>491</v>
      </c>
      <c r="F8" s="170" t="s">
        <v>532</v>
      </c>
      <c r="G8" s="170" t="s">
        <v>531</v>
      </c>
      <c r="H8" s="170" t="s">
        <v>497</v>
      </c>
      <c r="I8" s="170" t="s">
        <v>39</v>
      </c>
      <c r="J8" s="170" t="s">
        <v>40</v>
      </c>
      <c r="K8" s="170" t="s">
        <v>40</v>
      </c>
      <c r="L8" s="170" t="s">
        <v>40</v>
      </c>
      <c r="M8" s="175">
        <v>58200</v>
      </c>
      <c r="N8" s="175">
        <v>1E-3</v>
      </c>
      <c r="O8" s="175">
        <v>1</v>
      </c>
      <c r="P8" s="175">
        <v>1</v>
      </c>
      <c r="Q8" s="393">
        <v>525447607.44999999</v>
      </c>
      <c r="R8" s="390">
        <v>1.1000000000000001E-7</v>
      </c>
      <c r="S8" s="175"/>
      <c r="T8" s="175"/>
      <c r="U8" s="175"/>
      <c r="V8" s="175"/>
      <c r="W8" s="175">
        <v>0</v>
      </c>
      <c r="X8" s="175"/>
      <c r="Y8" s="175"/>
      <c r="Z8" s="175"/>
      <c r="AA8" s="175"/>
      <c r="AB8" s="175"/>
      <c r="AC8" s="175"/>
      <c r="AD8" s="175"/>
    </row>
    <row r="9" spans="1:30">
      <c r="A9" s="170" t="s">
        <v>1030</v>
      </c>
      <c r="B9" s="170" t="s">
        <v>1029</v>
      </c>
      <c r="C9" s="170" t="s">
        <v>1032</v>
      </c>
      <c r="D9" s="170" t="s">
        <v>1031</v>
      </c>
      <c r="E9" s="170" t="s">
        <v>491</v>
      </c>
      <c r="F9" s="170" t="s">
        <v>532</v>
      </c>
      <c r="G9" s="170" t="s">
        <v>531</v>
      </c>
      <c r="H9" s="170" t="s">
        <v>544</v>
      </c>
      <c r="I9" s="170" t="s">
        <v>319</v>
      </c>
      <c r="J9" s="170" t="s">
        <v>40</v>
      </c>
      <c r="K9" s="170" t="s">
        <v>40</v>
      </c>
      <c r="L9" s="170" t="s">
        <v>40</v>
      </c>
      <c r="M9" s="175">
        <v>4000</v>
      </c>
      <c r="N9" s="175">
        <v>1E-3</v>
      </c>
      <c r="O9" s="175">
        <v>1</v>
      </c>
      <c r="P9" s="175">
        <v>1</v>
      </c>
      <c r="Q9" s="393">
        <v>525447607.44999999</v>
      </c>
      <c r="R9" s="390">
        <v>1E-8</v>
      </c>
      <c r="S9" s="175"/>
      <c r="T9" s="175"/>
      <c r="U9" s="175"/>
      <c r="V9" s="175"/>
      <c r="W9" s="175">
        <v>0</v>
      </c>
      <c r="X9" s="175"/>
      <c r="Y9" s="175"/>
      <c r="Z9" s="175"/>
      <c r="AA9" s="175"/>
      <c r="AB9" s="175"/>
      <c r="AC9" s="175"/>
      <c r="AD9" s="175"/>
    </row>
    <row r="10" spans="1:30">
      <c r="A10" s="170" t="s">
        <v>1030</v>
      </c>
      <c r="B10" s="170" t="s">
        <v>1029</v>
      </c>
      <c r="C10" s="170" t="s">
        <v>1028</v>
      </c>
      <c r="D10" s="170" t="s">
        <v>1027</v>
      </c>
      <c r="E10" s="170" t="s">
        <v>491</v>
      </c>
      <c r="F10" s="170" t="s">
        <v>532</v>
      </c>
      <c r="G10" s="170" t="s">
        <v>531</v>
      </c>
      <c r="H10" s="170" t="s">
        <v>544</v>
      </c>
      <c r="I10" s="170" t="s">
        <v>319</v>
      </c>
      <c r="J10" s="170" t="s">
        <v>40</v>
      </c>
      <c r="K10" s="170" t="s">
        <v>40</v>
      </c>
      <c r="L10" s="170" t="s">
        <v>40</v>
      </c>
      <c r="M10" s="175">
        <v>125000</v>
      </c>
      <c r="N10" s="175">
        <v>1E-3</v>
      </c>
      <c r="O10" s="175">
        <v>1</v>
      </c>
      <c r="P10" s="175">
        <v>1</v>
      </c>
      <c r="Q10" s="393">
        <v>525447607.44999999</v>
      </c>
      <c r="R10" s="390">
        <v>1.9999999999999999E-7</v>
      </c>
      <c r="S10" s="175"/>
      <c r="T10" s="175"/>
      <c r="U10" s="175"/>
      <c r="V10" s="175"/>
      <c r="W10" s="175">
        <v>0</v>
      </c>
      <c r="X10" s="175"/>
      <c r="Y10" s="175"/>
      <c r="Z10" s="175"/>
      <c r="AA10" s="175"/>
      <c r="AB10" s="175"/>
      <c r="AC10" s="175"/>
      <c r="AD10" s="175"/>
    </row>
    <row r="11" spans="1:30">
      <c r="A11" s="170" t="s">
        <v>1026</v>
      </c>
      <c r="B11" s="170" t="s">
        <v>1026</v>
      </c>
      <c r="C11" s="170" t="s">
        <v>1025</v>
      </c>
      <c r="D11" s="170" t="s">
        <v>1024</v>
      </c>
      <c r="E11" s="170" t="s">
        <v>491</v>
      </c>
      <c r="F11" s="170" t="s">
        <v>40</v>
      </c>
      <c r="G11" s="170" t="s">
        <v>40</v>
      </c>
      <c r="H11" s="170" t="s">
        <v>40</v>
      </c>
      <c r="I11" s="170" t="s">
        <v>39</v>
      </c>
      <c r="J11" s="170" t="s">
        <v>1023</v>
      </c>
      <c r="K11" s="170" t="s">
        <v>511</v>
      </c>
      <c r="L11" s="170" t="s">
        <v>40</v>
      </c>
      <c r="M11" s="175">
        <v>73200000</v>
      </c>
      <c r="N11" s="175">
        <v>10.52946</v>
      </c>
      <c r="O11" s="175">
        <v>1</v>
      </c>
      <c r="P11" s="175">
        <v>1</v>
      </c>
      <c r="Q11" s="393">
        <v>525447607.44999999</v>
      </c>
      <c r="R11" s="390">
        <v>-0.15222859999999999</v>
      </c>
      <c r="S11" s="175"/>
      <c r="T11" s="175">
        <v>-2.6969E-2</v>
      </c>
      <c r="U11" s="175"/>
      <c r="V11" s="175"/>
      <c r="W11" s="175">
        <v>1756</v>
      </c>
      <c r="X11" s="175"/>
      <c r="Y11" s="175">
        <v>-41.345211999999997</v>
      </c>
      <c r="Z11" s="175">
        <v>-41.345211999999997</v>
      </c>
      <c r="AA11" s="175">
        <v>-0.63510500000000003</v>
      </c>
      <c r="AB11" s="175"/>
      <c r="AC11" s="175">
        <v>-2.6969E-2</v>
      </c>
      <c r="AD11" s="175">
        <v>-0.63510500000000003</v>
      </c>
    </row>
    <row r="12" spans="1:30">
      <c r="A12" s="170" t="s">
        <v>1022</v>
      </c>
      <c r="B12" s="170" t="s">
        <v>1022</v>
      </c>
      <c r="C12" s="170" t="s">
        <v>1021</v>
      </c>
      <c r="D12" s="170" t="s">
        <v>1020</v>
      </c>
      <c r="E12" s="170" t="s">
        <v>491</v>
      </c>
      <c r="F12" s="170" t="s">
        <v>576</v>
      </c>
      <c r="G12" s="170" t="s">
        <v>498</v>
      </c>
      <c r="H12" s="170" t="s">
        <v>40</v>
      </c>
      <c r="I12" s="170" t="s">
        <v>39</v>
      </c>
      <c r="J12" s="170" t="s">
        <v>1019</v>
      </c>
      <c r="K12" s="170" t="s">
        <v>1018</v>
      </c>
      <c r="L12" s="170" t="s">
        <v>40</v>
      </c>
      <c r="M12" s="175">
        <v>201</v>
      </c>
      <c r="N12" s="175">
        <v>129.55000000000001</v>
      </c>
      <c r="O12" s="175">
        <v>1</v>
      </c>
      <c r="P12" s="175">
        <v>1</v>
      </c>
      <c r="Q12" s="393">
        <v>525447607.44999999</v>
      </c>
      <c r="R12" s="390">
        <v>4.9585700000000003E-2</v>
      </c>
      <c r="S12" s="175"/>
      <c r="T12" s="175">
        <v>0.39635700000000001</v>
      </c>
      <c r="U12" s="175">
        <v>0.66610000000000003</v>
      </c>
      <c r="V12" s="175">
        <v>3.3222000000000002E-2</v>
      </c>
      <c r="W12" s="175">
        <v>10</v>
      </c>
      <c r="X12" s="175"/>
      <c r="Y12" s="175">
        <v>3.7888999999999999E-2</v>
      </c>
      <c r="Z12" s="175">
        <v>3.7888999999999999E-2</v>
      </c>
      <c r="AA12" s="175"/>
      <c r="AB12" s="175">
        <v>3.3029000000000003E-2</v>
      </c>
      <c r="AC12" s="175">
        <v>0.39635700000000001</v>
      </c>
      <c r="AD12" s="175"/>
    </row>
    <row r="13" spans="1:30">
      <c r="A13" s="170" t="s">
        <v>503</v>
      </c>
      <c r="B13" s="170" t="s">
        <v>535</v>
      </c>
      <c r="C13" s="170" t="s">
        <v>1017</v>
      </c>
      <c r="D13" s="170" t="s">
        <v>1016</v>
      </c>
      <c r="E13" s="170" t="s">
        <v>491</v>
      </c>
      <c r="F13" s="170" t="s">
        <v>525</v>
      </c>
      <c r="G13" s="170" t="s">
        <v>498</v>
      </c>
      <c r="H13" s="170" t="s">
        <v>588</v>
      </c>
      <c r="I13" s="170" t="s">
        <v>39</v>
      </c>
      <c r="J13" s="170" t="s">
        <v>1015</v>
      </c>
      <c r="K13" s="170" t="s">
        <v>760</v>
      </c>
      <c r="L13" s="170" t="s">
        <v>115</v>
      </c>
      <c r="M13" s="175">
        <v>1738000</v>
      </c>
      <c r="N13" s="175">
        <v>103.116</v>
      </c>
      <c r="O13" s="175">
        <v>1</v>
      </c>
      <c r="P13" s="175">
        <v>1</v>
      </c>
      <c r="Q13" s="393">
        <v>525447607.44999999</v>
      </c>
      <c r="R13" s="390">
        <v>3.4989499999999998E-3</v>
      </c>
      <c r="S13" s="175">
        <v>5.75</v>
      </c>
      <c r="T13" s="175">
        <v>1.835E-3</v>
      </c>
      <c r="U13" s="175">
        <v>4.6180000000000003</v>
      </c>
      <c r="V13" s="175">
        <v>1.1057000000000001E-2</v>
      </c>
      <c r="W13" s="175">
        <v>929</v>
      </c>
      <c r="X13" s="175">
        <v>3.5968100000000001</v>
      </c>
      <c r="Y13" s="175">
        <v>0.41361100000000001</v>
      </c>
      <c r="Z13" s="175">
        <v>0.41361100000000001</v>
      </c>
      <c r="AA13" s="175">
        <v>1.8519999999999999E-3</v>
      </c>
      <c r="AB13" s="175">
        <v>1.6114E-2</v>
      </c>
      <c r="AC13" s="175">
        <v>1.83E-3</v>
      </c>
      <c r="AD13" s="175">
        <v>1.8469999999999999E-3</v>
      </c>
    </row>
    <row r="14" spans="1:30">
      <c r="A14" s="170" t="s">
        <v>503</v>
      </c>
      <c r="B14" s="170" t="s">
        <v>535</v>
      </c>
      <c r="C14" s="170" t="s">
        <v>1014</v>
      </c>
      <c r="D14" s="170" t="s">
        <v>1013</v>
      </c>
      <c r="E14" s="170" t="s">
        <v>491</v>
      </c>
      <c r="F14" s="170" t="s">
        <v>576</v>
      </c>
      <c r="G14" s="170" t="s">
        <v>498</v>
      </c>
      <c r="H14" s="170" t="s">
        <v>612</v>
      </c>
      <c r="I14" s="170" t="s">
        <v>39</v>
      </c>
      <c r="J14" s="170" t="s">
        <v>1012</v>
      </c>
      <c r="K14" s="170" t="s">
        <v>586</v>
      </c>
      <c r="L14" s="170" t="s">
        <v>43</v>
      </c>
      <c r="M14" s="175">
        <v>3200000</v>
      </c>
      <c r="N14" s="175">
        <v>97.628</v>
      </c>
      <c r="O14" s="175">
        <v>1</v>
      </c>
      <c r="P14" s="175">
        <v>1</v>
      </c>
      <c r="Q14" s="393">
        <v>525447607.44999999</v>
      </c>
      <c r="R14" s="390">
        <v>6.0084500000000002E-3</v>
      </c>
      <c r="S14" s="175">
        <v>1.375</v>
      </c>
      <c r="T14" s="175">
        <v>5.9550000000000002E-3</v>
      </c>
      <c r="U14" s="175">
        <v>4.5582000000000003</v>
      </c>
      <c r="V14" s="175">
        <v>2.5055000000000001E-2</v>
      </c>
      <c r="W14" s="175">
        <v>20458</v>
      </c>
      <c r="X14" s="175">
        <v>136.015919</v>
      </c>
      <c r="Y14" s="175">
        <v>1.3273459999999999</v>
      </c>
      <c r="Z14" s="175">
        <v>1.3273459999999999</v>
      </c>
      <c r="AA14" s="175">
        <v>6.012E-3</v>
      </c>
      <c r="AB14" s="175">
        <v>2.7286000000000001E-2</v>
      </c>
      <c r="AC14" s="175">
        <v>5.9329999999999999E-3</v>
      </c>
      <c r="AD14" s="175">
        <v>5.9899999999999997E-3</v>
      </c>
    </row>
    <row r="15" spans="1:30">
      <c r="A15" s="170" t="s">
        <v>503</v>
      </c>
      <c r="B15" s="170" t="s">
        <v>535</v>
      </c>
      <c r="C15" s="170" t="s">
        <v>1011</v>
      </c>
      <c r="D15" s="170" t="s">
        <v>1010</v>
      </c>
      <c r="E15" s="170" t="s">
        <v>491</v>
      </c>
      <c r="F15" s="170" t="s">
        <v>576</v>
      </c>
      <c r="G15" s="170" t="s">
        <v>498</v>
      </c>
      <c r="H15" s="170" t="s">
        <v>575</v>
      </c>
      <c r="I15" s="170" t="s">
        <v>39</v>
      </c>
      <c r="J15" s="170" t="s">
        <v>1009</v>
      </c>
      <c r="K15" s="170" t="s">
        <v>495</v>
      </c>
      <c r="L15" s="170" t="s">
        <v>115</v>
      </c>
      <c r="M15" s="175">
        <v>3200000</v>
      </c>
      <c r="N15" s="175">
        <v>103.91800000000001</v>
      </c>
      <c r="O15" s="175">
        <v>1</v>
      </c>
      <c r="P15" s="175">
        <v>1</v>
      </c>
      <c r="Q15" s="393">
        <v>525447607.44999999</v>
      </c>
      <c r="R15" s="390">
        <v>6.4667600000000002E-3</v>
      </c>
      <c r="S15" s="175">
        <v>5.375</v>
      </c>
      <c r="T15" s="175">
        <v>3.0648000000000002E-2</v>
      </c>
      <c r="U15" s="175">
        <v>4.5987</v>
      </c>
      <c r="V15" s="175">
        <v>2.9488E-2</v>
      </c>
      <c r="W15" s="175">
        <v>2041</v>
      </c>
      <c r="X15" s="175">
        <v>14.604749</v>
      </c>
      <c r="Y15" s="175">
        <v>1.4376530000000001</v>
      </c>
      <c r="Z15" s="175">
        <v>1.4376530000000001</v>
      </c>
      <c r="AA15" s="175">
        <v>3.0931E-2</v>
      </c>
      <c r="AB15" s="175">
        <v>2.9685E-2</v>
      </c>
      <c r="AC15" s="175">
        <v>3.0592000000000001E-2</v>
      </c>
      <c r="AD15" s="175">
        <v>3.0873999999999999E-2</v>
      </c>
    </row>
    <row r="16" spans="1:30">
      <c r="A16" s="170" t="s">
        <v>503</v>
      </c>
      <c r="B16" s="170" t="s">
        <v>535</v>
      </c>
      <c r="C16" s="170" t="s">
        <v>1008</v>
      </c>
      <c r="D16" s="170" t="s">
        <v>984</v>
      </c>
      <c r="E16" s="170" t="s">
        <v>491</v>
      </c>
      <c r="F16" s="170" t="s">
        <v>287</v>
      </c>
      <c r="G16" s="170" t="s">
        <v>498</v>
      </c>
      <c r="H16" s="170" t="s">
        <v>622</v>
      </c>
      <c r="I16" s="170" t="s">
        <v>39</v>
      </c>
      <c r="J16" s="170" t="s">
        <v>587</v>
      </c>
      <c r="K16" s="170" t="s">
        <v>586</v>
      </c>
      <c r="L16" s="170" t="s">
        <v>63</v>
      </c>
      <c r="M16" s="175">
        <v>900000</v>
      </c>
      <c r="N16" s="175">
        <v>99.87</v>
      </c>
      <c r="O16" s="175">
        <v>1</v>
      </c>
      <c r="P16" s="175">
        <v>1</v>
      </c>
      <c r="Q16" s="393">
        <v>525447607.44999999</v>
      </c>
      <c r="R16" s="390">
        <v>1.72814E-3</v>
      </c>
      <c r="S16" s="175">
        <v>2.875</v>
      </c>
      <c r="T16" s="175">
        <v>6.9899999999999997E-4</v>
      </c>
      <c r="U16" s="175">
        <v>4.8319999999999999</v>
      </c>
      <c r="V16" s="175">
        <v>7.1370000000000001E-3</v>
      </c>
      <c r="W16" s="175">
        <v>19847</v>
      </c>
      <c r="X16" s="175">
        <v>37.952224000000001</v>
      </c>
      <c r="Y16" s="175">
        <v>0.35633500000000001</v>
      </c>
      <c r="Z16" s="175">
        <v>0.35633500000000001</v>
      </c>
      <c r="AA16" s="175">
        <v>7.0500000000000001E-4</v>
      </c>
      <c r="AB16" s="175">
        <v>8.3160000000000005E-3</v>
      </c>
      <c r="AC16" s="175">
        <v>6.96E-4</v>
      </c>
      <c r="AD16" s="175">
        <v>7.0299999999999996E-4</v>
      </c>
    </row>
    <row r="17" spans="1:30">
      <c r="A17" s="170" t="s">
        <v>503</v>
      </c>
      <c r="B17" s="170" t="s">
        <v>535</v>
      </c>
      <c r="C17" s="170" t="s">
        <v>1007</v>
      </c>
      <c r="D17" s="170" t="s">
        <v>1006</v>
      </c>
      <c r="E17" s="170" t="s">
        <v>491</v>
      </c>
      <c r="F17" s="170" t="s">
        <v>287</v>
      </c>
      <c r="G17" s="170" t="s">
        <v>498</v>
      </c>
      <c r="H17" s="170" t="s">
        <v>612</v>
      </c>
      <c r="I17" s="170" t="s">
        <v>39</v>
      </c>
      <c r="J17" s="170" t="s">
        <v>587</v>
      </c>
      <c r="K17" s="170" t="s">
        <v>586</v>
      </c>
      <c r="L17" s="170" t="s">
        <v>63</v>
      </c>
      <c r="M17" s="175">
        <v>1600000</v>
      </c>
      <c r="N17" s="175">
        <v>99.409000000000006</v>
      </c>
      <c r="O17" s="175">
        <v>1</v>
      </c>
      <c r="P17" s="175">
        <v>1</v>
      </c>
      <c r="Q17" s="393">
        <v>525447607.44999999</v>
      </c>
      <c r="R17" s="390">
        <v>3.0550600000000001E-3</v>
      </c>
      <c r="S17" s="175">
        <v>1.5</v>
      </c>
      <c r="T17" s="175">
        <v>4.3899999999999999E-4</v>
      </c>
      <c r="U17" s="175">
        <v>4.3452999999999999</v>
      </c>
      <c r="V17" s="175">
        <v>2.2119E-2</v>
      </c>
      <c r="W17" s="175">
        <v>19847</v>
      </c>
      <c r="X17" s="175">
        <v>67.093174000000005</v>
      </c>
      <c r="Y17" s="175">
        <v>1.611836</v>
      </c>
      <c r="Z17" s="175">
        <v>1.611836</v>
      </c>
      <c r="AA17" s="175">
        <v>4.44E-4</v>
      </c>
      <c r="AB17" s="175">
        <v>1.3247E-2</v>
      </c>
      <c r="AC17" s="175">
        <v>4.3800000000000002E-4</v>
      </c>
      <c r="AD17" s="175">
        <v>4.4299999999999998E-4</v>
      </c>
    </row>
    <row r="18" spans="1:30">
      <c r="A18" s="170" t="s">
        <v>503</v>
      </c>
      <c r="B18" s="170" t="s">
        <v>535</v>
      </c>
      <c r="C18" s="170" t="s">
        <v>1005</v>
      </c>
      <c r="D18" s="170" t="s">
        <v>1004</v>
      </c>
      <c r="E18" s="170" t="s">
        <v>491</v>
      </c>
      <c r="F18" s="170" t="s">
        <v>287</v>
      </c>
      <c r="G18" s="170" t="s">
        <v>498</v>
      </c>
      <c r="H18" s="170" t="s">
        <v>567</v>
      </c>
      <c r="I18" s="170" t="s">
        <v>39</v>
      </c>
      <c r="J18" s="170" t="s">
        <v>587</v>
      </c>
      <c r="K18" s="170" t="s">
        <v>586</v>
      </c>
      <c r="L18" s="170" t="s">
        <v>63</v>
      </c>
      <c r="M18" s="175">
        <v>1300000</v>
      </c>
      <c r="N18" s="175">
        <v>94.823999999999998</v>
      </c>
      <c r="O18" s="175">
        <v>1</v>
      </c>
      <c r="P18" s="175">
        <v>1</v>
      </c>
      <c r="Q18" s="393">
        <v>525447607.44999999</v>
      </c>
      <c r="R18" s="390">
        <v>2.3842199999999998E-3</v>
      </c>
      <c r="S18" s="175">
        <v>1.75</v>
      </c>
      <c r="T18" s="175">
        <v>6.574E-3</v>
      </c>
      <c r="U18" s="175">
        <v>2.8342000000000001</v>
      </c>
      <c r="V18" s="175">
        <v>8.9650000000000007E-3</v>
      </c>
      <c r="W18" s="175">
        <v>19847</v>
      </c>
      <c r="X18" s="175">
        <v>52.360641000000001</v>
      </c>
      <c r="Y18" s="175">
        <v>0.409661</v>
      </c>
      <c r="Z18" s="175">
        <v>0.409661</v>
      </c>
      <c r="AA18" s="175">
        <v>6.6400000000000001E-3</v>
      </c>
      <c r="AB18" s="175">
        <v>6.7419999999999997E-3</v>
      </c>
      <c r="AC18" s="175">
        <v>6.5599999999999999E-3</v>
      </c>
      <c r="AD18" s="175">
        <v>6.6249999999999998E-3</v>
      </c>
    </row>
    <row r="19" spans="1:30">
      <c r="A19" s="170" t="s">
        <v>503</v>
      </c>
      <c r="B19" s="170" t="s">
        <v>535</v>
      </c>
      <c r="C19" s="170" t="s">
        <v>1003</v>
      </c>
      <c r="D19" s="170" t="s">
        <v>1002</v>
      </c>
      <c r="E19" s="170" t="s">
        <v>491</v>
      </c>
      <c r="F19" s="170" t="s">
        <v>287</v>
      </c>
      <c r="G19" s="170" t="s">
        <v>498</v>
      </c>
      <c r="H19" s="170" t="s">
        <v>544</v>
      </c>
      <c r="I19" s="170" t="s">
        <v>39</v>
      </c>
      <c r="J19" s="170" t="s">
        <v>587</v>
      </c>
      <c r="K19" s="170" t="s">
        <v>586</v>
      </c>
      <c r="L19" s="170" t="s">
        <v>43</v>
      </c>
      <c r="M19" s="175">
        <v>4200000</v>
      </c>
      <c r="N19" s="175">
        <v>95.572999999999993</v>
      </c>
      <c r="O19" s="175">
        <v>1</v>
      </c>
      <c r="P19" s="175">
        <v>1</v>
      </c>
      <c r="Q19" s="393">
        <v>525447607.44999999</v>
      </c>
      <c r="R19" s="390">
        <v>7.7132399999999997E-3</v>
      </c>
      <c r="S19" s="175">
        <v>2.5</v>
      </c>
      <c r="T19" s="175">
        <v>2.4924999999999999E-2</v>
      </c>
      <c r="U19" s="175">
        <v>5.2801999999999998</v>
      </c>
      <c r="V19" s="175">
        <v>3.0776000000000001E-2</v>
      </c>
      <c r="W19" s="175">
        <v>19847</v>
      </c>
      <c r="X19" s="175">
        <v>169.39304100000001</v>
      </c>
      <c r="Y19" s="175">
        <v>1.451965</v>
      </c>
      <c r="Z19" s="175">
        <v>1.451965</v>
      </c>
      <c r="AA19" s="175">
        <v>2.5180000000000001E-2</v>
      </c>
      <c r="AB19" s="175">
        <v>4.0627999999999997E-2</v>
      </c>
      <c r="AC19" s="175">
        <v>2.4865000000000002E-2</v>
      </c>
      <c r="AD19" s="175">
        <v>2.5118999999999999E-2</v>
      </c>
    </row>
    <row r="20" spans="1:30">
      <c r="A20" s="170" t="s">
        <v>503</v>
      </c>
      <c r="B20" s="170" t="s">
        <v>535</v>
      </c>
      <c r="C20" s="170" t="s">
        <v>1001</v>
      </c>
      <c r="D20" s="170" t="s">
        <v>1000</v>
      </c>
      <c r="E20" s="170" t="s">
        <v>491</v>
      </c>
      <c r="F20" s="170" t="s">
        <v>287</v>
      </c>
      <c r="G20" s="170" t="s">
        <v>498</v>
      </c>
      <c r="H20" s="170" t="s">
        <v>622</v>
      </c>
      <c r="I20" s="170" t="s">
        <v>39</v>
      </c>
      <c r="J20" s="170" t="s">
        <v>999</v>
      </c>
      <c r="K20" s="170" t="s">
        <v>511</v>
      </c>
      <c r="L20" s="170" t="s">
        <v>115</v>
      </c>
      <c r="M20" s="175">
        <v>2200000</v>
      </c>
      <c r="N20" s="175">
        <v>90.965000000000003</v>
      </c>
      <c r="O20" s="175">
        <v>1</v>
      </c>
      <c r="P20" s="175">
        <v>1</v>
      </c>
      <c r="Q20" s="393">
        <v>525447607.44999999</v>
      </c>
      <c r="R20" s="390">
        <v>3.8545900000000002E-3</v>
      </c>
      <c r="S20" s="175">
        <v>1.75</v>
      </c>
      <c r="T20" s="175">
        <v>1.6021000000000001E-2</v>
      </c>
      <c r="U20" s="175">
        <v>4.1307999999999998</v>
      </c>
      <c r="V20" s="175">
        <v>1.5918999999999999E-2</v>
      </c>
      <c r="W20" s="175">
        <v>1601</v>
      </c>
      <c r="X20" s="175">
        <v>6.8286290000000003</v>
      </c>
      <c r="Y20" s="175">
        <v>0.73321499999999995</v>
      </c>
      <c r="Z20" s="175">
        <v>0.73321499999999995</v>
      </c>
      <c r="AA20" s="175">
        <v>1.6191000000000001E-2</v>
      </c>
      <c r="AB20" s="175">
        <v>1.5869000000000001E-2</v>
      </c>
      <c r="AC20" s="175">
        <v>1.5966999999999999E-2</v>
      </c>
      <c r="AD20" s="175">
        <v>1.6136000000000001E-2</v>
      </c>
    </row>
    <row r="21" spans="1:30">
      <c r="A21" s="170" t="s">
        <v>503</v>
      </c>
      <c r="B21" s="170" t="s">
        <v>535</v>
      </c>
      <c r="C21" s="170" t="s">
        <v>998</v>
      </c>
      <c r="D21" s="170" t="s">
        <v>997</v>
      </c>
      <c r="E21" s="170" t="s">
        <v>491</v>
      </c>
      <c r="F21" s="170" t="s">
        <v>287</v>
      </c>
      <c r="G21" s="170" t="s">
        <v>498</v>
      </c>
      <c r="H21" s="170" t="s">
        <v>567</v>
      </c>
      <c r="I21" s="170" t="s">
        <v>39</v>
      </c>
      <c r="J21" s="170" t="s">
        <v>649</v>
      </c>
      <c r="K21" s="170" t="s">
        <v>511</v>
      </c>
      <c r="L21" s="170" t="s">
        <v>114</v>
      </c>
      <c r="M21" s="175">
        <v>2300000</v>
      </c>
      <c r="N21" s="175">
        <v>107.53400000000001</v>
      </c>
      <c r="O21" s="175">
        <v>1</v>
      </c>
      <c r="P21" s="175">
        <v>1</v>
      </c>
      <c r="Q21" s="393">
        <v>525447607.44999999</v>
      </c>
      <c r="R21" s="390">
        <v>4.8412400000000001E-3</v>
      </c>
      <c r="S21" s="175">
        <v>5.625</v>
      </c>
      <c r="T21" s="175">
        <v>1.8296E-2</v>
      </c>
      <c r="U21" s="175">
        <v>3.8220999999999998</v>
      </c>
      <c r="V21" s="175">
        <v>1.8009000000000001E-2</v>
      </c>
      <c r="W21" s="175">
        <v>1631</v>
      </c>
      <c r="X21" s="175">
        <v>8.737247</v>
      </c>
      <c r="Y21" s="175">
        <v>0.74525600000000003</v>
      </c>
      <c r="Z21" s="175">
        <v>0.74525600000000003</v>
      </c>
      <c r="AA21" s="175">
        <v>1.8459E-2</v>
      </c>
      <c r="AB21" s="175">
        <v>1.8457000000000001E-2</v>
      </c>
      <c r="AC21" s="175">
        <v>1.8249000000000001E-2</v>
      </c>
      <c r="AD21" s="175">
        <v>1.8412000000000001E-2</v>
      </c>
    </row>
    <row r="22" spans="1:30">
      <c r="A22" s="170" t="s">
        <v>503</v>
      </c>
      <c r="B22" s="170" t="s">
        <v>535</v>
      </c>
      <c r="C22" s="170" t="s">
        <v>996</v>
      </c>
      <c r="D22" s="170" t="s">
        <v>995</v>
      </c>
      <c r="E22" s="170" t="s">
        <v>491</v>
      </c>
      <c r="F22" s="170" t="s">
        <v>287</v>
      </c>
      <c r="G22" s="170" t="s">
        <v>498</v>
      </c>
      <c r="H22" s="170" t="s">
        <v>588</v>
      </c>
      <c r="I22" s="170" t="s">
        <v>39</v>
      </c>
      <c r="J22" s="170" t="s">
        <v>587</v>
      </c>
      <c r="K22" s="170" t="s">
        <v>586</v>
      </c>
      <c r="L22" s="170" t="s">
        <v>41</v>
      </c>
      <c r="M22" s="175">
        <v>2500000</v>
      </c>
      <c r="N22" s="175">
        <v>105.86199999999999</v>
      </c>
      <c r="O22" s="175">
        <v>1</v>
      </c>
      <c r="P22" s="175">
        <v>1</v>
      </c>
      <c r="Q22" s="393">
        <v>525447607.44999999</v>
      </c>
      <c r="R22" s="390">
        <v>5.0398099999999996E-3</v>
      </c>
      <c r="S22" s="175">
        <v>5.8680000000000003</v>
      </c>
      <c r="T22" s="175">
        <v>1.7333999999999999E-2</v>
      </c>
      <c r="U22" s="175">
        <v>5.6326000000000001</v>
      </c>
      <c r="V22" s="175">
        <v>2.1267999999999999E-2</v>
      </c>
      <c r="W22" s="175">
        <v>19847</v>
      </c>
      <c r="X22" s="175">
        <v>110.681068</v>
      </c>
      <c r="Y22" s="175">
        <v>1.041601</v>
      </c>
      <c r="Z22" s="175">
        <v>1.041601</v>
      </c>
      <c r="AA22" s="175">
        <v>1.7513999999999998E-2</v>
      </c>
      <c r="AB22" s="175">
        <v>2.8316999999999998E-2</v>
      </c>
      <c r="AC22" s="175">
        <v>1.7291000000000001E-2</v>
      </c>
      <c r="AD22" s="175">
        <v>1.7471E-2</v>
      </c>
    </row>
    <row r="23" spans="1:30">
      <c r="A23" s="170" t="s">
        <v>503</v>
      </c>
      <c r="B23" s="170" t="s">
        <v>535</v>
      </c>
      <c r="C23" s="170" t="s">
        <v>994</v>
      </c>
      <c r="D23" s="170" t="s">
        <v>993</v>
      </c>
      <c r="E23" s="170" t="s">
        <v>491</v>
      </c>
      <c r="F23" s="170" t="s">
        <v>287</v>
      </c>
      <c r="G23" s="170" t="s">
        <v>498</v>
      </c>
      <c r="H23" s="170" t="s">
        <v>544</v>
      </c>
      <c r="I23" s="170" t="s">
        <v>39</v>
      </c>
      <c r="J23" s="170" t="s">
        <v>587</v>
      </c>
      <c r="K23" s="170" t="s">
        <v>586</v>
      </c>
      <c r="L23" s="170" t="s">
        <v>63</v>
      </c>
      <c r="M23" s="175">
        <v>2000000</v>
      </c>
      <c r="N23" s="175">
        <v>105.31699999999999</v>
      </c>
      <c r="O23" s="175">
        <v>1</v>
      </c>
      <c r="P23" s="175">
        <v>1</v>
      </c>
      <c r="Q23" s="393">
        <v>525447607.44999999</v>
      </c>
      <c r="R23" s="390">
        <v>4.0514100000000001E-3</v>
      </c>
      <c r="S23" s="175">
        <v>5.125</v>
      </c>
      <c r="T23" s="175">
        <v>2.5607000000000001E-2</v>
      </c>
      <c r="U23" s="175">
        <v>6.4067999999999996</v>
      </c>
      <c r="V23" s="175">
        <v>1.7502E-2</v>
      </c>
      <c r="W23" s="175">
        <v>19847</v>
      </c>
      <c r="X23" s="175">
        <v>88.974496000000002</v>
      </c>
      <c r="Y23" s="175">
        <v>0.72938000000000003</v>
      </c>
      <c r="Z23" s="175">
        <v>0.72938000000000003</v>
      </c>
      <c r="AA23" s="175">
        <v>2.5919999999999999E-2</v>
      </c>
      <c r="AB23" s="175">
        <v>2.5888999999999999E-2</v>
      </c>
      <c r="AC23" s="175">
        <v>2.554E-2</v>
      </c>
      <c r="AD23" s="175">
        <v>2.5852E-2</v>
      </c>
    </row>
    <row r="24" spans="1:30">
      <c r="A24" s="170" t="s">
        <v>503</v>
      </c>
      <c r="B24" s="170" t="s">
        <v>535</v>
      </c>
      <c r="C24" s="170" t="s">
        <v>992</v>
      </c>
      <c r="D24" s="170" t="s">
        <v>991</v>
      </c>
      <c r="E24" s="170" t="s">
        <v>491</v>
      </c>
      <c r="F24" s="170" t="s">
        <v>287</v>
      </c>
      <c r="G24" s="170" t="s">
        <v>498</v>
      </c>
      <c r="H24" s="170" t="s">
        <v>567</v>
      </c>
      <c r="I24" s="170" t="s">
        <v>39</v>
      </c>
      <c r="J24" s="170" t="s">
        <v>666</v>
      </c>
      <c r="K24" s="170" t="s">
        <v>511</v>
      </c>
      <c r="L24" s="170" t="s">
        <v>114</v>
      </c>
      <c r="M24" s="175">
        <v>800000</v>
      </c>
      <c r="N24" s="175">
        <v>101.881</v>
      </c>
      <c r="O24" s="175">
        <v>1</v>
      </c>
      <c r="P24" s="175">
        <v>1</v>
      </c>
      <c r="Q24" s="393">
        <v>525447607.44999999</v>
      </c>
      <c r="R24" s="390">
        <v>1.6057300000000001E-3</v>
      </c>
      <c r="S24" s="175">
        <v>4.25</v>
      </c>
      <c r="T24" s="175">
        <v>6.0419999999999996E-3</v>
      </c>
      <c r="U24" s="175">
        <v>3.8557000000000001</v>
      </c>
      <c r="V24" s="175">
        <v>6.1500000000000001E-3</v>
      </c>
      <c r="W24" s="175">
        <v>1569</v>
      </c>
      <c r="X24" s="175">
        <v>2.787785</v>
      </c>
      <c r="Y24" s="175">
        <v>0.26093899999999998</v>
      </c>
      <c r="Z24" s="175">
        <v>0.26093899999999998</v>
      </c>
      <c r="AA24" s="175">
        <v>6.0899999999999999E-3</v>
      </c>
      <c r="AB24" s="175">
        <v>6.1700000000000001E-3</v>
      </c>
      <c r="AC24" s="175">
        <v>6.0210000000000003E-3</v>
      </c>
      <c r="AD24" s="175">
        <v>6.0689999999999997E-3</v>
      </c>
    </row>
    <row r="25" spans="1:30">
      <c r="A25" s="170" t="s">
        <v>503</v>
      </c>
      <c r="B25" s="170" t="s">
        <v>535</v>
      </c>
      <c r="C25" s="170" t="s">
        <v>990</v>
      </c>
      <c r="D25" s="170" t="s">
        <v>989</v>
      </c>
      <c r="E25" s="170" t="s">
        <v>491</v>
      </c>
      <c r="F25" s="170" t="s">
        <v>287</v>
      </c>
      <c r="G25" s="170" t="s">
        <v>498</v>
      </c>
      <c r="H25" s="170" t="s">
        <v>642</v>
      </c>
      <c r="I25" s="170" t="s">
        <v>39</v>
      </c>
      <c r="J25" s="170" t="s">
        <v>587</v>
      </c>
      <c r="K25" s="170" t="s">
        <v>586</v>
      </c>
      <c r="L25" s="170" t="s">
        <v>41</v>
      </c>
      <c r="M25" s="175">
        <v>3900000</v>
      </c>
      <c r="N25" s="175">
        <v>101.765</v>
      </c>
      <c r="O25" s="175">
        <v>1</v>
      </c>
      <c r="P25" s="175">
        <v>1</v>
      </c>
      <c r="Q25" s="393">
        <v>525447607.44999999</v>
      </c>
      <c r="R25" s="390">
        <v>7.7644000000000003E-3</v>
      </c>
      <c r="S25" s="175">
        <v>5.4939999999999998</v>
      </c>
      <c r="T25" s="175">
        <v>2.9190000000000001E-2</v>
      </c>
      <c r="U25" s="175">
        <v>5.7714999999999996</v>
      </c>
      <c r="V25" s="175">
        <v>4.1383999999999997E-2</v>
      </c>
      <c r="W25" s="175">
        <v>19847</v>
      </c>
      <c r="X25" s="175">
        <v>170.51659000000001</v>
      </c>
      <c r="Y25" s="175">
        <v>2.3881679999999998</v>
      </c>
      <c r="Z25" s="175">
        <v>2.3881679999999998</v>
      </c>
      <c r="AA25" s="175">
        <v>2.9500999999999999E-2</v>
      </c>
      <c r="AB25" s="175">
        <v>4.4636000000000002E-2</v>
      </c>
      <c r="AC25" s="175">
        <v>2.9075E-2</v>
      </c>
      <c r="AD25" s="175">
        <v>2.9384E-2</v>
      </c>
    </row>
    <row r="26" spans="1:30">
      <c r="A26" s="170" t="s">
        <v>503</v>
      </c>
      <c r="B26" s="170" t="s">
        <v>535</v>
      </c>
      <c r="C26" s="170" t="s">
        <v>988</v>
      </c>
      <c r="D26" s="170" t="s">
        <v>987</v>
      </c>
      <c r="E26" s="170" t="s">
        <v>491</v>
      </c>
      <c r="F26" s="170" t="s">
        <v>287</v>
      </c>
      <c r="G26" s="170" t="s">
        <v>498</v>
      </c>
      <c r="H26" s="170" t="s">
        <v>575</v>
      </c>
      <c r="I26" s="170" t="s">
        <v>39</v>
      </c>
      <c r="J26" s="170" t="s">
        <v>986</v>
      </c>
      <c r="K26" s="170" t="s">
        <v>495</v>
      </c>
      <c r="L26" s="170" t="s">
        <v>41</v>
      </c>
      <c r="M26" s="175">
        <v>1600000</v>
      </c>
      <c r="N26" s="175">
        <v>101.651</v>
      </c>
      <c r="O26" s="175">
        <v>1</v>
      </c>
      <c r="P26" s="175">
        <v>1</v>
      </c>
      <c r="Q26" s="393">
        <v>525447607.44999999</v>
      </c>
      <c r="R26" s="390">
        <v>3.1401900000000002E-3</v>
      </c>
      <c r="S26" s="175">
        <v>5.125</v>
      </c>
      <c r="T26" s="175">
        <v>1.5432E-2</v>
      </c>
      <c r="U26" s="175">
        <v>4.8482000000000003</v>
      </c>
      <c r="V26" s="175">
        <v>1.5167E-2</v>
      </c>
      <c r="W26" s="175">
        <v>2090</v>
      </c>
      <c r="X26" s="175">
        <v>7.2621659999999997</v>
      </c>
      <c r="Y26" s="175">
        <v>0.77061299999999999</v>
      </c>
      <c r="Z26" s="175">
        <v>0.77061299999999999</v>
      </c>
      <c r="AA26" s="175">
        <v>1.5573999999999999E-2</v>
      </c>
      <c r="AB26" s="175">
        <v>1.5178000000000001E-2</v>
      </c>
      <c r="AC26" s="175">
        <v>1.5384999999999999E-2</v>
      </c>
      <c r="AD26" s="175">
        <v>1.5526E-2</v>
      </c>
    </row>
    <row r="27" spans="1:30">
      <c r="A27" s="170" t="s">
        <v>503</v>
      </c>
      <c r="B27" s="170" t="s">
        <v>535</v>
      </c>
      <c r="C27" s="170" t="s">
        <v>985</v>
      </c>
      <c r="D27" s="170" t="s">
        <v>984</v>
      </c>
      <c r="E27" s="170" t="s">
        <v>491</v>
      </c>
      <c r="F27" s="170" t="s">
        <v>287</v>
      </c>
      <c r="G27" s="170" t="s">
        <v>498</v>
      </c>
      <c r="H27" s="170" t="s">
        <v>622</v>
      </c>
      <c r="I27" s="170" t="s">
        <v>39</v>
      </c>
      <c r="J27" s="170" t="s">
        <v>587</v>
      </c>
      <c r="K27" s="170" t="s">
        <v>586</v>
      </c>
      <c r="L27" s="170" t="s">
        <v>63</v>
      </c>
      <c r="M27" s="175">
        <v>2900000</v>
      </c>
      <c r="N27" s="175">
        <v>101.854</v>
      </c>
      <c r="O27" s="175">
        <v>1</v>
      </c>
      <c r="P27" s="175">
        <v>1</v>
      </c>
      <c r="Q27" s="393">
        <v>525447607.44999999</v>
      </c>
      <c r="R27" s="390">
        <v>5.7327400000000001E-3</v>
      </c>
      <c r="S27" s="175">
        <v>4.875</v>
      </c>
      <c r="T27" s="175">
        <v>2.4121E-2</v>
      </c>
      <c r="U27" s="175">
        <v>6.7523</v>
      </c>
      <c r="V27" s="175">
        <v>2.6199E-2</v>
      </c>
      <c r="W27" s="175">
        <v>19847</v>
      </c>
      <c r="X27" s="175">
        <v>125.89859800000001</v>
      </c>
      <c r="Y27" s="175">
        <v>1.324133</v>
      </c>
      <c r="Z27" s="175">
        <v>1.324133</v>
      </c>
      <c r="AA27" s="175">
        <v>2.4961000000000001E-2</v>
      </c>
      <c r="AB27" s="175">
        <v>3.8584E-2</v>
      </c>
      <c r="AC27" s="175">
        <v>2.4042999999999998E-2</v>
      </c>
      <c r="AD27" s="175">
        <v>2.4881E-2</v>
      </c>
    </row>
    <row r="28" spans="1:30">
      <c r="A28" s="170" t="s">
        <v>503</v>
      </c>
      <c r="B28" s="170" t="s">
        <v>535</v>
      </c>
      <c r="C28" s="170" t="s">
        <v>983</v>
      </c>
      <c r="D28" s="170" t="s">
        <v>982</v>
      </c>
      <c r="E28" s="170" t="s">
        <v>491</v>
      </c>
      <c r="F28" s="170" t="s">
        <v>287</v>
      </c>
      <c r="G28" s="170" t="s">
        <v>498</v>
      </c>
      <c r="H28" s="170" t="s">
        <v>669</v>
      </c>
      <c r="I28" s="170" t="s">
        <v>39</v>
      </c>
      <c r="J28" s="170" t="s">
        <v>981</v>
      </c>
      <c r="K28" s="170" t="s">
        <v>511</v>
      </c>
      <c r="L28" s="170" t="s">
        <v>41</v>
      </c>
      <c r="M28" s="175">
        <v>5000000</v>
      </c>
      <c r="N28" s="175">
        <v>101.113</v>
      </c>
      <c r="O28" s="175">
        <v>1</v>
      </c>
      <c r="P28" s="175">
        <v>1</v>
      </c>
      <c r="Q28" s="393">
        <v>525447607.44999999</v>
      </c>
      <c r="R28" s="390">
        <v>9.7164399999999998E-3</v>
      </c>
      <c r="S28" s="175">
        <v>3.75</v>
      </c>
      <c r="T28" s="175">
        <v>4.1486000000000002E-2</v>
      </c>
      <c r="U28" s="175">
        <v>3.5465</v>
      </c>
      <c r="V28" s="175">
        <v>3.4299000000000003E-2</v>
      </c>
      <c r="W28" s="175">
        <v>1733</v>
      </c>
      <c r="X28" s="175">
        <v>18.632436999999999</v>
      </c>
      <c r="Y28" s="175">
        <v>1.257293</v>
      </c>
      <c r="Z28" s="175">
        <v>1.257293</v>
      </c>
      <c r="AA28" s="175">
        <v>4.1834999999999997E-2</v>
      </c>
      <c r="AB28" s="175">
        <v>3.4381000000000002E-2</v>
      </c>
      <c r="AC28" s="175">
        <v>4.1391999999999998E-2</v>
      </c>
      <c r="AD28" s="175">
        <v>4.1739999999999999E-2</v>
      </c>
    </row>
    <row r="29" spans="1:30">
      <c r="A29" s="170" t="s">
        <v>503</v>
      </c>
      <c r="B29" s="170" t="s">
        <v>535</v>
      </c>
      <c r="C29" s="170" t="s">
        <v>980</v>
      </c>
      <c r="D29" s="170" t="s">
        <v>979</v>
      </c>
      <c r="E29" s="170" t="s">
        <v>491</v>
      </c>
      <c r="F29" s="170" t="s">
        <v>287</v>
      </c>
      <c r="G29" s="170" t="s">
        <v>498</v>
      </c>
      <c r="H29" s="170" t="s">
        <v>513</v>
      </c>
      <c r="I29" s="170" t="s">
        <v>39</v>
      </c>
      <c r="J29" s="170" t="s">
        <v>978</v>
      </c>
      <c r="K29" s="170" t="s">
        <v>495</v>
      </c>
      <c r="L29" s="170" t="s">
        <v>115</v>
      </c>
      <c r="M29" s="175">
        <v>4700000</v>
      </c>
      <c r="N29" s="175">
        <v>99.400999999999996</v>
      </c>
      <c r="O29" s="175">
        <v>1</v>
      </c>
      <c r="P29" s="175">
        <v>1</v>
      </c>
      <c r="Q29" s="393">
        <v>525447607.44999999</v>
      </c>
      <c r="R29" s="390">
        <v>8.8911800000000003E-3</v>
      </c>
      <c r="S29" s="175">
        <v>3.75</v>
      </c>
      <c r="T29" s="175">
        <v>4.0464E-2</v>
      </c>
      <c r="U29" s="175">
        <v>3.8771</v>
      </c>
      <c r="V29" s="175">
        <v>3.4498000000000001E-2</v>
      </c>
      <c r="W29" s="175">
        <v>1832</v>
      </c>
      <c r="X29" s="175">
        <v>18.023897999999999</v>
      </c>
      <c r="Y29" s="175">
        <v>1.418798</v>
      </c>
      <c r="Z29" s="175">
        <v>1.418798</v>
      </c>
      <c r="AA29" s="175">
        <v>4.0821000000000003E-2</v>
      </c>
      <c r="AB29" s="175">
        <v>3.4480999999999998E-2</v>
      </c>
      <c r="AC29" s="175">
        <v>4.0474999999999997E-2</v>
      </c>
      <c r="AD29" s="175">
        <v>4.0832E-2</v>
      </c>
    </row>
    <row r="30" spans="1:30">
      <c r="A30" s="170" t="s">
        <v>503</v>
      </c>
      <c r="B30" s="170" t="s">
        <v>535</v>
      </c>
      <c r="C30" s="170" t="s">
        <v>977</v>
      </c>
      <c r="D30" s="170" t="s">
        <v>976</v>
      </c>
      <c r="E30" s="170" t="s">
        <v>491</v>
      </c>
      <c r="F30" s="170" t="s">
        <v>298</v>
      </c>
      <c r="G30" s="170" t="s">
        <v>498</v>
      </c>
      <c r="H30" s="170" t="s">
        <v>544</v>
      </c>
      <c r="I30" s="170" t="s">
        <v>39</v>
      </c>
      <c r="J30" s="170" t="s">
        <v>975</v>
      </c>
      <c r="K30" s="170" t="s">
        <v>586</v>
      </c>
      <c r="L30" s="170" t="s">
        <v>43</v>
      </c>
      <c r="M30" s="175">
        <v>3100000</v>
      </c>
      <c r="N30" s="175">
        <v>102.208</v>
      </c>
      <c r="O30" s="175">
        <v>1</v>
      </c>
      <c r="P30" s="175">
        <v>1</v>
      </c>
      <c r="Q30" s="393">
        <v>525447607.44999999</v>
      </c>
      <c r="R30" s="390">
        <v>6.1570799999999997E-3</v>
      </c>
      <c r="S30" s="175">
        <v>4.625</v>
      </c>
      <c r="T30" s="175">
        <v>2.9184000000000002E-2</v>
      </c>
      <c r="U30" s="175">
        <v>4.7343000000000002</v>
      </c>
      <c r="V30" s="175">
        <v>2.9123E-2</v>
      </c>
      <c r="W30" s="175">
        <v>10610</v>
      </c>
      <c r="X30" s="175">
        <v>72.286061000000004</v>
      </c>
      <c r="Y30" s="175">
        <v>1.3051680000000001</v>
      </c>
      <c r="Z30" s="175">
        <v>1.3051680000000001</v>
      </c>
      <c r="AA30" s="175">
        <v>9.2535999999999993E-2</v>
      </c>
      <c r="AB30" s="175">
        <v>2.9044E-2</v>
      </c>
      <c r="AC30" s="175">
        <v>2.9079000000000001E-2</v>
      </c>
      <c r="AD30" s="175">
        <v>9.2202999999999993E-2</v>
      </c>
    </row>
    <row r="31" spans="1:30">
      <c r="A31" s="170" t="s">
        <v>503</v>
      </c>
      <c r="B31" s="170" t="s">
        <v>535</v>
      </c>
      <c r="C31" s="170" t="s">
        <v>974</v>
      </c>
      <c r="D31" s="170" t="s">
        <v>973</v>
      </c>
      <c r="E31" s="170" t="s">
        <v>491</v>
      </c>
      <c r="F31" s="170" t="s">
        <v>298</v>
      </c>
      <c r="G31" s="170" t="s">
        <v>498</v>
      </c>
      <c r="H31" s="170" t="s">
        <v>544</v>
      </c>
      <c r="I31" s="170" t="s">
        <v>39</v>
      </c>
      <c r="J31" s="170" t="s">
        <v>972</v>
      </c>
      <c r="K31" s="170" t="s">
        <v>586</v>
      </c>
      <c r="L31" s="170" t="s">
        <v>43</v>
      </c>
      <c r="M31" s="175">
        <v>4500000</v>
      </c>
      <c r="N31" s="175">
        <v>98.018000000000001</v>
      </c>
      <c r="O31" s="175">
        <v>1</v>
      </c>
      <c r="P31" s="175">
        <v>1</v>
      </c>
      <c r="Q31" s="393">
        <v>525447607.44999999</v>
      </c>
      <c r="R31" s="390">
        <v>8.4549199999999994E-3</v>
      </c>
      <c r="S31" s="175">
        <v>1.5</v>
      </c>
      <c r="T31" s="175">
        <v>1.0736000000000001E-2</v>
      </c>
      <c r="U31" s="175">
        <v>4.3094999999999999</v>
      </c>
      <c r="V31" s="175">
        <v>2.7817000000000001E-2</v>
      </c>
      <c r="W31" s="175">
        <v>20651</v>
      </c>
      <c r="X31" s="175">
        <v>193.20337599999999</v>
      </c>
      <c r="Y31" s="175">
        <v>1.1499569999999999</v>
      </c>
      <c r="Z31" s="175">
        <v>1.1499569999999999</v>
      </c>
      <c r="AA31" s="175">
        <v>1.0838E-2</v>
      </c>
      <c r="AB31" s="175">
        <v>3.6338000000000002E-2</v>
      </c>
      <c r="AC31" s="175">
        <v>1.0707E-2</v>
      </c>
      <c r="AD31" s="175">
        <v>1.0808999999999999E-2</v>
      </c>
    </row>
    <row r="32" spans="1:30">
      <c r="A32" s="170" t="s">
        <v>503</v>
      </c>
      <c r="B32" s="170" t="s">
        <v>535</v>
      </c>
      <c r="C32" s="170" t="s">
        <v>971</v>
      </c>
      <c r="D32" s="170" t="s">
        <v>970</v>
      </c>
      <c r="E32" s="170" t="s">
        <v>491</v>
      </c>
      <c r="F32" s="170" t="s">
        <v>532</v>
      </c>
      <c r="G32" s="170" t="s">
        <v>531</v>
      </c>
      <c r="H32" s="170" t="s">
        <v>567</v>
      </c>
      <c r="I32" s="170" t="s">
        <v>319</v>
      </c>
      <c r="J32" s="170" t="s">
        <v>969</v>
      </c>
      <c r="K32" s="170" t="s">
        <v>586</v>
      </c>
      <c r="L32" s="170" t="s">
        <v>42</v>
      </c>
      <c r="M32" s="175">
        <v>1250000</v>
      </c>
      <c r="N32" s="175">
        <v>1E-3</v>
      </c>
      <c r="O32" s="175">
        <v>1</v>
      </c>
      <c r="P32" s="175">
        <v>1</v>
      </c>
      <c r="Q32" s="393">
        <v>525447607.44999999</v>
      </c>
      <c r="R32" s="390">
        <v>2E-8</v>
      </c>
      <c r="S32" s="175">
        <v>13.5</v>
      </c>
      <c r="T32" s="175">
        <v>0</v>
      </c>
      <c r="U32" s="175">
        <v>1E-4</v>
      </c>
      <c r="V32" s="175">
        <v>0</v>
      </c>
      <c r="W32" s="175">
        <v>72076</v>
      </c>
      <c r="X32" s="175">
        <v>1.621E-3</v>
      </c>
      <c r="Y32" s="175">
        <v>0</v>
      </c>
      <c r="Z32" s="175">
        <v>0</v>
      </c>
      <c r="AA32" s="175"/>
      <c r="AB32" s="175">
        <v>0</v>
      </c>
      <c r="AC32" s="175">
        <v>0</v>
      </c>
      <c r="AD32" s="175"/>
    </row>
    <row r="33" spans="1:30">
      <c r="A33" s="170" t="s">
        <v>503</v>
      </c>
      <c r="B33" s="170" t="s">
        <v>535</v>
      </c>
      <c r="C33" s="170" t="s">
        <v>968</v>
      </c>
      <c r="D33" s="170" t="s">
        <v>967</v>
      </c>
      <c r="E33" s="170" t="s">
        <v>491</v>
      </c>
      <c r="F33" s="170" t="s">
        <v>293</v>
      </c>
      <c r="G33" s="170" t="s">
        <v>498</v>
      </c>
      <c r="H33" s="170" t="s">
        <v>551</v>
      </c>
      <c r="I33" s="170" t="s">
        <v>39</v>
      </c>
      <c r="J33" s="170" t="s">
        <v>587</v>
      </c>
      <c r="K33" s="170" t="s">
        <v>586</v>
      </c>
      <c r="L33" s="170" t="s">
        <v>41</v>
      </c>
      <c r="M33" s="175">
        <v>4040000</v>
      </c>
      <c r="N33" s="175">
        <v>99.274000000000001</v>
      </c>
      <c r="O33" s="175">
        <v>1</v>
      </c>
      <c r="P33" s="175">
        <v>1</v>
      </c>
      <c r="Q33" s="393">
        <v>525447607.44999999</v>
      </c>
      <c r="R33" s="390">
        <v>7.8334500000000005E-3</v>
      </c>
      <c r="S33" s="175">
        <v>3.25</v>
      </c>
      <c r="T33" s="175">
        <v>1.6149999999999999E-3</v>
      </c>
      <c r="U33" s="175">
        <v>7.2523999999999997</v>
      </c>
      <c r="V33" s="175">
        <v>6.4156000000000005E-2</v>
      </c>
      <c r="W33" s="175">
        <v>19847</v>
      </c>
      <c r="X33" s="175">
        <v>172.03316599999999</v>
      </c>
      <c r="Y33" s="175">
        <v>4.5782679999999996</v>
      </c>
      <c r="Z33" s="175">
        <v>4.5782679999999996</v>
      </c>
      <c r="AA33" s="175">
        <v>1.6310000000000001E-3</v>
      </c>
      <c r="AB33" s="175">
        <v>5.6670999999999999E-2</v>
      </c>
      <c r="AC33" s="175">
        <v>1.611E-3</v>
      </c>
      <c r="AD33" s="175">
        <v>1.627E-3</v>
      </c>
    </row>
    <row r="34" spans="1:30">
      <c r="A34" s="170" t="s">
        <v>503</v>
      </c>
      <c r="B34" s="170" t="s">
        <v>535</v>
      </c>
      <c r="C34" s="170" t="s">
        <v>966</v>
      </c>
      <c r="D34" s="170" t="s">
        <v>965</v>
      </c>
      <c r="E34" s="170" t="s">
        <v>491</v>
      </c>
      <c r="F34" s="170" t="s">
        <v>934</v>
      </c>
      <c r="G34" s="170" t="s">
        <v>498</v>
      </c>
      <c r="H34" s="170" t="s">
        <v>588</v>
      </c>
      <c r="I34" s="170" t="s">
        <v>39</v>
      </c>
      <c r="J34" s="170" t="s">
        <v>964</v>
      </c>
      <c r="K34" s="170" t="s">
        <v>760</v>
      </c>
      <c r="L34" s="170" t="s">
        <v>114</v>
      </c>
      <c r="M34" s="175">
        <v>1921000</v>
      </c>
      <c r="N34" s="175">
        <v>98.751000000000005</v>
      </c>
      <c r="O34" s="175">
        <v>1</v>
      </c>
      <c r="P34" s="175">
        <v>1</v>
      </c>
      <c r="Q34" s="393">
        <v>525447607.44999999</v>
      </c>
      <c r="R34" s="390">
        <v>3.62101E-3</v>
      </c>
      <c r="S34" s="175">
        <v>2.25</v>
      </c>
      <c r="T34" s="175">
        <v>6.4289999999999998E-3</v>
      </c>
      <c r="U34" s="175">
        <v>3.1945999999999999</v>
      </c>
      <c r="V34" s="175">
        <v>1.1551000000000001E-2</v>
      </c>
      <c r="W34" s="175">
        <v>685</v>
      </c>
      <c r="X34" s="175">
        <v>2.744631</v>
      </c>
      <c r="Y34" s="175">
        <v>0.45675700000000002</v>
      </c>
      <c r="Z34" s="175">
        <v>0.45675700000000002</v>
      </c>
      <c r="AA34" s="175">
        <v>6.4700000000000001E-3</v>
      </c>
      <c r="AB34" s="175">
        <v>1.1535999999999999E-2</v>
      </c>
      <c r="AC34" s="175">
        <v>6.4120000000000002E-3</v>
      </c>
      <c r="AD34" s="175">
        <v>6.4520000000000003E-3</v>
      </c>
    </row>
    <row r="35" spans="1:30">
      <c r="A35" s="170" t="s">
        <v>503</v>
      </c>
      <c r="B35" s="170" t="s">
        <v>535</v>
      </c>
      <c r="C35" s="170" t="s">
        <v>963</v>
      </c>
      <c r="D35" s="170" t="s">
        <v>962</v>
      </c>
      <c r="E35" s="170" t="s">
        <v>491</v>
      </c>
      <c r="F35" s="170" t="s">
        <v>287</v>
      </c>
      <c r="G35" s="170" t="s">
        <v>498</v>
      </c>
      <c r="H35" s="170" t="s">
        <v>567</v>
      </c>
      <c r="I35" s="170" t="s">
        <v>39</v>
      </c>
      <c r="J35" s="170" t="s">
        <v>961</v>
      </c>
      <c r="K35" s="170" t="s">
        <v>760</v>
      </c>
      <c r="L35" s="170" t="s">
        <v>111</v>
      </c>
      <c r="M35" s="175">
        <v>2500000</v>
      </c>
      <c r="N35" s="175">
        <v>86.622</v>
      </c>
      <c r="O35" s="175">
        <v>1</v>
      </c>
      <c r="P35" s="175">
        <v>1</v>
      </c>
      <c r="Q35" s="393">
        <v>525447607.44999999</v>
      </c>
      <c r="R35" s="390">
        <v>4.1824499999999999E-3</v>
      </c>
      <c r="S35" s="175">
        <v>3.375</v>
      </c>
      <c r="T35" s="175">
        <v>9.41E-3</v>
      </c>
      <c r="U35" s="175">
        <v>11.0183</v>
      </c>
      <c r="V35" s="175">
        <v>4.6091E-2</v>
      </c>
      <c r="W35" s="175">
        <v>869</v>
      </c>
      <c r="X35" s="175">
        <v>4.0217470000000004</v>
      </c>
      <c r="Y35" s="175">
        <v>3.4800689999999999</v>
      </c>
      <c r="Z35" s="175">
        <v>3.4800689999999999</v>
      </c>
      <c r="AA35" s="175">
        <v>9.502E-3</v>
      </c>
      <c r="AB35" s="175">
        <v>4.5199999999999997E-2</v>
      </c>
      <c r="AC35" s="175">
        <v>9.2300000000000004E-3</v>
      </c>
      <c r="AD35" s="175">
        <v>9.3200000000000002E-3</v>
      </c>
    </row>
    <row r="36" spans="1:30">
      <c r="A36" s="170" t="s">
        <v>503</v>
      </c>
      <c r="B36" s="170" t="s">
        <v>535</v>
      </c>
      <c r="C36" s="170" t="s">
        <v>960</v>
      </c>
      <c r="D36" s="170" t="s">
        <v>959</v>
      </c>
      <c r="E36" s="170" t="s">
        <v>491</v>
      </c>
      <c r="F36" s="170" t="s">
        <v>576</v>
      </c>
      <c r="G36" s="170" t="s">
        <v>498</v>
      </c>
      <c r="H36" s="170" t="s">
        <v>497</v>
      </c>
      <c r="I36" s="170" t="s">
        <v>39</v>
      </c>
      <c r="J36" s="170" t="s">
        <v>587</v>
      </c>
      <c r="K36" s="170" t="s">
        <v>586</v>
      </c>
      <c r="L36" s="170" t="s">
        <v>43</v>
      </c>
      <c r="M36" s="175">
        <v>3400000</v>
      </c>
      <c r="N36" s="175">
        <v>100.545</v>
      </c>
      <c r="O36" s="175">
        <v>1</v>
      </c>
      <c r="P36" s="175">
        <v>1</v>
      </c>
      <c r="Q36" s="393">
        <v>525447607.44999999</v>
      </c>
      <c r="R36" s="390">
        <v>6.6049000000000004E-3</v>
      </c>
      <c r="S36" s="175">
        <v>3.625</v>
      </c>
      <c r="T36" s="175">
        <v>1.4756E-2</v>
      </c>
      <c r="U36" s="175">
        <v>5.1554000000000002</v>
      </c>
      <c r="V36" s="175">
        <v>2.3050999999999999E-2</v>
      </c>
      <c r="W36" s="175">
        <v>19847</v>
      </c>
      <c r="X36" s="175">
        <v>145.05258599999999</v>
      </c>
      <c r="Y36" s="175">
        <v>1.0010950000000001</v>
      </c>
      <c r="Z36" s="175">
        <v>1.0010950000000001</v>
      </c>
      <c r="AA36" s="175">
        <v>1.4899000000000001E-2</v>
      </c>
      <c r="AB36" s="175">
        <v>3.397E-2</v>
      </c>
      <c r="AC36" s="175">
        <v>1.4721E-2</v>
      </c>
      <c r="AD36" s="175">
        <v>1.4864E-2</v>
      </c>
    </row>
    <row r="37" spans="1:30">
      <c r="A37" s="170" t="s">
        <v>503</v>
      </c>
      <c r="B37" s="170" t="s">
        <v>535</v>
      </c>
      <c r="C37" s="170" t="s">
        <v>958</v>
      </c>
      <c r="D37" s="170" t="s">
        <v>957</v>
      </c>
      <c r="E37" s="170" t="s">
        <v>491</v>
      </c>
      <c r="F37" s="170" t="s">
        <v>532</v>
      </c>
      <c r="G37" s="170" t="s">
        <v>531</v>
      </c>
      <c r="H37" s="170" t="s">
        <v>612</v>
      </c>
      <c r="I37" s="170" t="s">
        <v>39</v>
      </c>
      <c r="J37" s="170" t="s">
        <v>956</v>
      </c>
      <c r="K37" s="170" t="s">
        <v>760</v>
      </c>
      <c r="L37" s="170" t="s">
        <v>115</v>
      </c>
      <c r="M37" s="175">
        <v>1376000</v>
      </c>
      <c r="N37" s="175">
        <v>97.287000000000006</v>
      </c>
      <c r="O37" s="175">
        <v>1</v>
      </c>
      <c r="P37" s="175">
        <v>1</v>
      </c>
      <c r="Q37" s="393">
        <v>525447607.44999999</v>
      </c>
      <c r="R37" s="390">
        <v>2.5523299999999998E-3</v>
      </c>
      <c r="S37" s="175">
        <v>2</v>
      </c>
      <c r="T37" s="175">
        <v>5.9880000000000003E-3</v>
      </c>
      <c r="U37" s="175">
        <v>3.4184000000000001</v>
      </c>
      <c r="V37" s="175">
        <v>8.7290000000000006E-3</v>
      </c>
      <c r="W37" s="175">
        <v>884</v>
      </c>
      <c r="X37" s="175">
        <v>2.496623</v>
      </c>
      <c r="Y37" s="175">
        <v>0.35997000000000001</v>
      </c>
      <c r="Z37" s="175">
        <v>0.35997000000000001</v>
      </c>
      <c r="AA37" s="175">
        <v>6.0429999999999998E-3</v>
      </c>
      <c r="AB37" s="175">
        <v>8.6910000000000008E-3</v>
      </c>
      <c r="AC37" s="175">
        <v>5.9649999999999998E-3</v>
      </c>
      <c r="AD37" s="175">
        <v>6.0200000000000002E-3</v>
      </c>
    </row>
    <row r="38" spans="1:30">
      <c r="A38" s="170" t="s">
        <v>503</v>
      </c>
      <c r="B38" s="170" t="s">
        <v>535</v>
      </c>
      <c r="C38" s="170" t="s">
        <v>955</v>
      </c>
      <c r="D38" s="170" t="s">
        <v>954</v>
      </c>
      <c r="E38" s="170" t="s">
        <v>491</v>
      </c>
      <c r="F38" s="170" t="s">
        <v>571</v>
      </c>
      <c r="G38" s="170" t="s">
        <v>498</v>
      </c>
      <c r="H38" s="170" t="s">
        <v>508</v>
      </c>
      <c r="I38" s="170" t="s">
        <v>39</v>
      </c>
      <c r="J38" s="170" t="s">
        <v>848</v>
      </c>
      <c r="K38" s="170" t="s">
        <v>760</v>
      </c>
      <c r="L38" s="170" t="s">
        <v>113</v>
      </c>
      <c r="M38" s="175">
        <v>1925000</v>
      </c>
      <c r="N38" s="175">
        <v>97.14</v>
      </c>
      <c r="O38" s="175">
        <v>1</v>
      </c>
      <c r="P38" s="175">
        <v>1</v>
      </c>
      <c r="Q38" s="393">
        <v>525447607.44999999</v>
      </c>
      <c r="R38" s="390">
        <v>3.5646800000000002E-3</v>
      </c>
      <c r="S38" s="175">
        <v>1.875</v>
      </c>
      <c r="T38" s="175">
        <v>8.3499999999999998E-3</v>
      </c>
      <c r="U38" s="175">
        <v>3.3149000000000002</v>
      </c>
      <c r="V38" s="175">
        <v>1.1799E-2</v>
      </c>
      <c r="W38" s="175">
        <v>886</v>
      </c>
      <c r="X38" s="175">
        <v>3.4947689999999998</v>
      </c>
      <c r="Y38" s="175">
        <v>0.47620400000000002</v>
      </c>
      <c r="Z38" s="175">
        <v>0.47620400000000002</v>
      </c>
      <c r="AA38" s="175">
        <v>8.4209999999999997E-3</v>
      </c>
      <c r="AB38" s="175">
        <v>1.1771999999999999E-2</v>
      </c>
      <c r="AC38" s="175">
        <v>8.3180000000000007E-3</v>
      </c>
      <c r="AD38" s="175">
        <v>8.3890000000000006E-3</v>
      </c>
    </row>
    <row r="39" spans="1:30">
      <c r="A39" s="170" t="s">
        <v>503</v>
      </c>
      <c r="B39" s="170" t="s">
        <v>535</v>
      </c>
      <c r="C39" s="170" t="s">
        <v>953</v>
      </c>
      <c r="D39" s="170" t="s">
        <v>952</v>
      </c>
      <c r="E39" s="170" t="s">
        <v>491</v>
      </c>
      <c r="F39" s="170" t="s">
        <v>532</v>
      </c>
      <c r="G39" s="170" t="s">
        <v>531</v>
      </c>
      <c r="H39" s="170" t="s">
        <v>508</v>
      </c>
      <c r="I39" s="170" t="s">
        <v>39</v>
      </c>
      <c r="J39" s="170" t="s">
        <v>951</v>
      </c>
      <c r="K39" s="170" t="s">
        <v>495</v>
      </c>
      <c r="L39" s="170" t="s">
        <v>114</v>
      </c>
      <c r="M39" s="175">
        <v>2900000</v>
      </c>
      <c r="N39" s="175">
        <v>73.619</v>
      </c>
      <c r="O39" s="175">
        <v>1</v>
      </c>
      <c r="P39" s="175">
        <v>1</v>
      </c>
      <c r="Q39" s="393">
        <v>525447607.44999999</v>
      </c>
      <c r="R39" s="390">
        <v>4.0809699999999997E-3</v>
      </c>
      <c r="S39" s="175">
        <v>0.625</v>
      </c>
      <c r="T39" s="175">
        <v>2.5538999999999999E-2</v>
      </c>
      <c r="U39" s="175">
        <v>5.7207999999999997</v>
      </c>
      <c r="V39" s="175">
        <v>2.3342999999999999E-2</v>
      </c>
      <c r="W39" s="175">
        <v>2371</v>
      </c>
      <c r="X39" s="175">
        <v>10.706785</v>
      </c>
      <c r="Y39" s="175">
        <v>1.297542</v>
      </c>
      <c r="Z39" s="175">
        <v>1.297542</v>
      </c>
      <c r="AA39" s="175">
        <v>2.5842E-2</v>
      </c>
      <c r="AB39" s="175">
        <v>2.3175999999999999E-2</v>
      </c>
      <c r="AC39" s="175">
        <v>2.5353000000000001E-2</v>
      </c>
      <c r="AD39" s="175">
        <v>2.5654E-2</v>
      </c>
    </row>
    <row r="40" spans="1:30">
      <c r="A40" s="170" t="s">
        <v>503</v>
      </c>
      <c r="B40" s="170" t="s">
        <v>535</v>
      </c>
      <c r="C40" s="170" t="s">
        <v>950</v>
      </c>
      <c r="D40" s="170" t="s">
        <v>949</v>
      </c>
      <c r="E40" s="170" t="s">
        <v>491</v>
      </c>
      <c r="F40" s="170" t="s">
        <v>532</v>
      </c>
      <c r="G40" s="170" t="s">
        <v>531</v>
      </c>
      <c r="H40" s="170" t="s">
        <v>588</v>
      </c>
      <c r="I40" s="170" t="s">
        <v>39</v>
      </c>
      <c r="J40" s="170" t="s">
        <v>948</v>
      </c>
      <c r="K40" s="170" t="s">
        <v>760</v>
      </c>
      <c r="L40" s="170" t="s">
        <v>113</v>
      </c>
      <c r="M40" s="175">
        <v>2643000</v>
      </c>
      <c r="N40" s="175">
        <v>97.221999999999994</v>
      </c>
      <c r="O40" s="175">
        <v>1</v>
      </c>
      <c r="P40" s="175">
        <v>1</v>
      </c>
      <c r="Q40" s="393">
        <v>525447607.44999999</v>
      </c>
      <c r="R40" s="390">
        <v>4.9050400000000003E-3</v>
      </c>
      <c r="S40" s="175">
        <v>2.25</v>
      </c>
      <c r="T40" s="175">
        <v>1.2756E-2</v>
      </c>
      <c r="U40" s="175">
        <v>3.4331999999999998</v>
      </c>
      <c r="V40" s="175">
        <v>1.6823999999999999E-2</v>
      </c>
      <c r="W40" s="175">
        <v>1007</v>
      </c>
      <c r="X40" s="175">
        <v>5.4655769999999997</v>
      </c>
      <c r="Y40" s="175">
        <v>0.69550800000000002</v>
      </c>
      <c r="Z40" s="175">
        <v>0.69550800000000002</v>
      </c>
      <c r="AA40" s="175">
        <v>1.2843E-2</v>
      </c>
      <c r="AB40" s="175">
        <v>1.6775999999999999E-2</v>
      </c>
      <c r="AC40" s="175">
        <v>1.2708000000000001E-2</v>
      </c>
      <c r="AD40" s="175">
        <v>1.2794E-2</v>
      </c>
    </row>
    <row r="41" spans="1:30">
      <c r="A41" s="170" t="s">
        <v>503</v>
      </c>
      <c r="B41" s="170" t="s">
        <v>535</v>
      </c>
      <c r="C41" s="170" t="s">
        <v>947</v>
      </c>
      <c r="D41" s="170" t="s">
        <v>946</v>
      </c>
      <c r="E41" s="170" t="s">
        <v>491</v>
      </c>
      <c r="F41" s="170" t="s">
        <v>532</v>
      </c>
      <c r="G41" s="170" t="s">
        <v>531</v>
      </c>
      <c r="H41" s="170" t="s">
        <v>551</v>
      </c>
      <c r="I41" s="170" t="s">
        <v>39</v>
      </c>
      <c r="J41" s="170" t="s">
        <v>945</v>
      </c>
      <c r="K41" s="170" t="s">
        <v>760</v>
      </c>
      <c r="L41" s="170" t="s">
        <v>114</v>
      </c>
      <c r="M41" s="175">
        <v>2376000</v>
      </c>
      <c r="N41" s="175">
        <v>100.062</v>
      </c>
      <c r="O41" s="175">
        <v>1</v>
      </c>
      <c r="P41" s="175">
        <v>1</v>
      </c>
      <c r="Q41" s="393">
        <v>525447607.44999999</v>
      </c>
      <c r="R41" s="390">
        <v>4.5475400000000001E-3</v>
      </c>
      <c r="S41" s="175">
        <v>3.875</v>
      </c>
      <c r="T41" s="175">
        <v>5.4739999999999997E-3</v>
      </c>
      <c r="U41" s="175">
        <v>3.9508999999999999</v>
      </c>
      <c r="V41" s="175">
        <v>1.7963E-2</v>
      </c>
      <c r="W41" s="175">
        <v>1051</v>
      </c>
      <c r="X41" s="175">
        <v>5.2886300000000004</v>
      </c>
      <c r="Y41" s="175">
        <v>0.74858400000000003</v>
      </c>
      <c r="Z41" s="175">
        <v>0.74858400000000003</v>
      </c>
      <c r="AA41" s="175">
        <v>5.3550000000000004E-3</v>
      </c>
      <c r="AB41" s="175">
        <v>1.7915E-2</v>
      </c>
      <c r="AC41" s="175">
        <v>5.4580000000000002E-3</v>
      </c>
      <c r="AD41" s="175">
        <v>5.339E-3</v>
      </c>
    </row>
    <row r="42" spans="1:30">
      <c r="A42" s="170" t="s">
        <v>503</v>
      </c>
      <c r="B42" s="170" t="s">
        <v>535</v>
      </c>
      <c r="C42" s="170" t="s">
        <v>944</v>
      </c>
      <c r="D42" s="170" t="s">
        <v>943</v>
      </c>
      <c r="E42" s="170" t="s">
        <v>491</v>
      </c>
      <c r="F42" s="170" t="s">
        <v>287</v>
      </c>
      <c r="G42" s="170" t="s">
        <v>498</v>
      </c>
      <c r="H42" s="170" t="s">
        <v>575</v>
      </c>
      <c r="I42" s="170" t="s">
        <v>39</v>
      </c>
      <c r="J42" s="170" t="s">
        <v>899</v>
      </c>
      <c r="K42" s="170" t="s">
        <v>760</v>
      </c>
      <c r="L42" s="170" t="s">
        <v>114</v>
      </c>
      <c r="M42" s="175">
        <v>778000</v>
      </c>
      <c r="N42" s="175">
        <v>99.929000000000002</v>
      </c>
      <c r="O42" s="175">
        <v>1</v>
      </c>
      <c r="P42" s="175">
        <v>1</v>
      </c>
      <c r="Q42" s="393">
        <v>525447607.44999999</v>
      </c>
      <c r="R42" s="390">
        <v>1.4914699999999999E-3</v>
      </c>
      <c r="S42" s="175">
        <v>3.75</v>
      </c>
      <c r="T42" s="175">
        <v>2.428E-3</v>
      </c>
      <c r="U42" s="175">
        <v>3.9687999999999999</v>
      </c>
      <c r="V42" s="175">
        <v>5.921E-3</v>
      </c>
      <c r="W42" s="175">
        <v>1021</v>
      </c>
      <c r="X42" s="175">
        <v>1.685014</v>
      </c>
      <c r="Y42" s="175">
        <v>0.25860499999999997</v>
      </c>
      <c r="Z42" s="175">
        <v>0.25860499999999997</v>
      </c>
      <c r="AA42" s="175">
        <v>2.3939999999999999E-3</v>
      </c>
      <c r="AB42" s="175">
        <v>5.8939999999999999E-3</v>
      </c>
      <c r="AC42" s="175">
        <v>2.4169999999999999E-3</v>
      </c>
      <c r="AD42" s="175">
        <v>2.3839999999999998E-3</v>
      </c>
    </row>
    <row r="43" spans="1:30">
      <c r="A43" s="170" t="s">
        <v>503</v>
      </c>
      <c r="B43" s="170" t="s">
        <v>535</v>
      </c>
      <c r="C43" s="170" t="s">
        <v>942</v>
      </c>
      <c r="D43" s="170" t="s">
        <v>941</v>
      </c>
      <c r="E43" s="170" t="s">
        <v>491</v>
      </c>
      <c r="F43" s="170" t="s">
        <v>514</v>
      </c>
      <c r="G43" s="170" t="s">
        <v>498</v>
      </c>
      <c r="H43" s="170" t="s">
        <v>567</v>
      </c>
      <c r="I43" s="170" t="s">
        <v>39</v>
      </c>
      <c r="J43" s="170" t="s">
        <v>940</v>
      </c>
      <c r="K43" s="170" t="s">
        <v>586</v>
      </c>
      <c r="L43" s="170" t="s">
        <v>43</v>
      </c>
      <c r="M43" s="175">
        <v>5542000</v>
      </c>
      <c r="N43" s="175">
        <v>96.028000000000006</v>
      </c>
      <c r="O43" s="175">
        <v>1</v>
      </c>
      <c r="P43" s="175">
        <v>1</v>
      </c>
      <c r="Q43" s="393">
        <v>525447607.44999999</v>
      </c>
      <c r="R43" s="390">
        <v>1.013346E-2</v>
      </c>
      <c r="S43" s="175">
        <v>3</v>
      </c>
      <c r="T43" s="175">
        <v>4.4908999999999998E-2</v>
      </c>
      <c r="U43" s="175">
        <v>5.5210999999999997</v>
      </c>
      <c r="V43" s="175">
        <v>4.0837999999999999E-2</v>
      </c>
      <c r="W43" s="175">
        <v>20087</v>
      </c>
      <c r="X43" s="175">
        <v>225.23562899999999</v>
      </c>
      <c r="Y43" s="175">
        <v>1.802279</v>
      </c>
      <c r="Z43" s="175">
        <v>1.802279</v>
      </c>
      <c r="AA43" s="175">
        <v>4.5399000000000002E-2</v>
      </c>
      <c r="AB43" s="175">
        <v>5.5763E-2</v>
      </c>
      <c r="AC43" s="175">
        <v>4.4761000000000002E-2</v>
      </c>
      <c r="AD43" s="175">
        <v>4.5248999999999998E-2</v>
      </c>
    </row>
    <row r="44" spans="1:30">
      <c r="A44" s="170" t="s">
        <v>503</v>
      </c>
      <c r="B44" s="170" t="s">
        <v>535</v>
      </c>
      <c r="C44" s="170" t="s">
        <v>939</v>
      </c>
      <c r="D44" s="170" t="s">
        <v>938</v>
      </c>
      <c r="E44" s="170" t="s">
        <v>491</v>
      </c>
      <c r="F44" s="170" t="s">
        <v>571</v>
      </c>
      <c r="G44" s="170" t="s">
        <v>498</v>
      </c>
      <c r="H44" s="170" t="s">
        <v>567</v>
      </c>
      <c r="I44" s="170" t="s">
        <v>39</v>
      </c>
      <c r="J44" s="170" t="s">
        <v>937</v>
      </c>
      <c r="K44" s="170" t="s">
        <v>760</v>
      </c>
      <c r="L44" s="170" t="s">
        <v>115</v>
      </c>
      <c r="M44" s="175">
        <v>4496000</v>
      </c>
      <c r="N44" s="175">
        <v>100.149</v>
      </c>
      <c r="O44" s="175">
        <v>1</v>
      </c>
      <c r="P44" s="175">
        <v>1</v>
      </c>
      <c r="Q44" s="393">
        <v>525447607.44999999</v>
      </c>
      <c r="R44" s="390">
        <v>8.7280299999999995E-3</v>
      </c>
      <c r="S44" s="175">
        <v>4</v>
      </c>
      <c r="T44" s="175">
        <v>2.715E-3</v>
      </c>
      <c r="U44" s="175">
        <v>4.0372000000000003</v>
      </c>
      <c r="V44" s="175">
        <v>3.4825000000000002E-2</v>
      </c>
      <c r="W44" s="175">
        <v>750</v>
      </c>
      <c r="X44" s="175">
        <v>7.2433880000000004</v>
      </c>
      <c r="Y44" s="175">
        <v>1.422466</v>
      </c>
      <c r="Z44" s="175">
        <v>1.422466</v>
      </c>
      <c r="AA44" s="175">
        <v>2.5400000000000002E-3</v>
      </c>
      <c r="AB44" s="175">
        <v>3.5188999999999998E-2</v>
      </c>
      <c r="AC44" s="175">
        <v>2.7109999999999999E-3</v>
      </c>
      <c r="AD44" s="175">
        <v>2.5360000000000001E-3</v>
      </c>
    </row>
    <row r="45" spans="1:30">
      <c r="A45" s="170" t="s">
        <v>503</v>
      </c>
      <c r="B45" s="170" t="s">
        <v>535</v>
      </c>
      <c r="C45" s="170" t="s">
        <v>936</v>
      </c>
      <c r="D45" s="170" t="s">
        <v>935</v>
      </c>
      <c r="E45" s="170" t="s">
        <v>491</v>
      </c>
      <c r="F45" s="170" t="s">
        <v>934</v>
      </c>
      <c r="G45" s="170" t="s">
        <v>498</v>
      </c>
      <c r="H45" s="170" t="s">
        <v>588</v>
      </c>
      <c r="I45" s="170" t="s">
        <v>39</v>
      </c>
      <c r="J45" s="170" t="s">
        <v>933</v>
      </c>
      <c r="K45" s="170" t="s">
        <v>760</v>
      </c>
      <c r="L45" s="170" t="s">
        <v>114</v>
      </c>
      <c r="M45" s="175">
        <v>3208000</v>
      </c>
      <c r="N45" s="175">
        <v>98.679000000000002</v>
      </c>
      <c r="O45" s="175">
        <v>1</v>
      </c>
      <c r="P45" s="175">
        <v>1</v>
      </c>
      <c r="Q45" s="393">
        <v>525447607.44999999</v>
      </c>
      <c r="R45" s="390">
        <v>6.0733599999999999E-3</v>
      </c>
      <c r="S45" s="175">
        <v>2.375</v>
      </c>
      <c r="T45" s="175">
        <v>1.2134000000000001E-2</v>
      </c>
      <c r="U45" s="175">
        <v>3.2280000000000002</v>
      </c>
      <c r="V45" s="175">
        <v>1.9616999999999999E-2</v>
      </c>
      <c r="W45" s="175">
        <v>794</v>
      </c>
      <c r="X45" s="175">
        <v>5.3359690000000004</v>
      </c>
      <c r="Y45" s="175">
        <v>0.75096099999999999</v>
      </c>
      <c r="Z45" s="175">
        <v>0.75096099999999999</v>
      </c>
      <c r="AA45" s="175">
        <v>1.2182999999999999E-2</v>
      </c>
      <c r="AB45" s="175">
        <v>1.9532999999999998E-2</v>
      </c>
      <c r="AC45" s="175">
        <v>1.209E-2</v>
      </c>
      <c r="AD45" s="175">
        <v>1.2137999999999999E-2</v>
      </c>
    </row>
    <row r="46" spans="1:30">
      <c r="A46" s="170" t="s">
        <v>503</v>
      </c>
      <c r="B46" s="170" t="s">
        <v>535</v>
      </c>
      <c r="C46" s="170" t="s">
        <v>932</v>
      </c>
      <c r="D46" s="170" t="s">
        <v>931</v>
      </c>
      <c r="E46" s="170" t="s">
        <v>491</v>
      </c>
      <c r="F46" s="170" t="s">
        <v>576</v>
      </c>
      <c r="G46" s="170" t="s">
        <v>498</v>
      </c>
      <c r="H46" s="170" t="s">
        <v>622</v>
      </c>
      <c r="I46" s="170" t="s">
        <v>39</v>
      </c>
      <c r="J46" s="170" t="s">
        <v>587</v>
      </c>
      <c r="K46" s="170" t="s">
        <v>586</v>
      </c>
      <c r="L46" s="170" t="s">
        <v>43</v>
      </c>
      <c r="M46" s="175">
        <v>3700000</v>
      </c>
      <c r="N46" s="175">
        <v>97.37</v>
      </c>
      <c r="O46" s="175">
        <v>1</v>
      </c>
      <c r="P46" s="175">
        <v>1</v>
      </c>
      <c r="Q46" s="393">
        <v>525447607.44999999</v>
      </c>
      <c r="R46" s="390">
        <v>6.8810199999999998E-3</v>
      </c>
      <c r="S46" s="175">
        <v>1.5</v>
      </c>
      <c r="T46" s="175">
        <v>3.6219999999999998E-3</v>
      </c>
      <c r="U46" s="175">
        <v>4.9644000000000004</v>
      </c>
      <c r="V46" s="175">
        <v>4.9819000000000002E-2</v>
      </c>
      <c r="W46" s="175">
        <v>19847</v>
      </c>
      <c r="X46" s="175">
        <v>151.11641399999999</v>
      </c>
      <c r="Y46" s="175">
        <v>3.6072609999999998</v>
      </c>
      <c r="Z46" s="175">
        <v>3.6072609999999998</v>
      </c>
      <c r="AA46" s="175">
        <v>3.6570000000000001E-3</v>
      </c>
      <c r="AB46" s="175">
        <v>3.4044999999999999E-2</v>
      </c>
      <c r="AC46" s="175">
        <v>3.6099999999999999E-3</v>
      </c>
      <c r="AD46" s="175">
        <v>3.6449999999999998E-3</v>
      </c>
    </row>
    <row r="47" spans="1:30">
      <c r="A47" s="170" t="s">
        <v>503</v>
      </c>
      <c r="B47" s="170" t="s">
        <v>535</v>
      </c>
      <c r="C47" s="170" t="s">
        <v>930</v>
      </c>
      <c r="D47" s="170" t="s">
        <v>929</v>
      </c>
      <c r="E47" s="170" t="s">
        <v>491</v>
      </c>
      <c r="F47" s="170" t="s">
        <v>685</v>
      </c>
      <c r="G47" s="170" t="s">
        <v>498</v>
      </c>
      <c r="H47" s="170" t="s">
        <v>567</v>
      </c>
      <c r="I47" s="170" t="s">
        <v>39</v>
      </c>
      <c r="J47" s="170" t="s">
        <v>866</v>
      </c>
      <c r="K47" s="170" t="s">
        <v>511</v>
      </c>
      <c r="L47" s="170" t="s">
        <v>110</v>
      </c>
      <c r="M47" s="175">
        <v>1700000</v>
      </c>
      <c r="N47" s="175">
        <v>92.989000000000004</v>
      </c>
      <c r="O47" s="175">
        <v>1</v>
      </c>
      <c r="P47" s="175">
        <v>1</v>
      </c>
      <c r="Q47" s="393">
        <v>525447607.44999999</v>
      </c>
      <c r="R47" s="390">
        <v>3.0439099999999999E-3</v>
      </c>
      <c r="S47" s="175">
        <v>2.875</v>
      </c>
      <c r="T47" s="175">
        <v>9.6450000000000008E-3</v>
      </c>
      <c r="U47" s="175">
        <v>5.4006999999999996</v>
      </c>
      <c r="V47" s="175">
        <v>1.6437E-2</v>
      </c>
      <c r="W47" s="175">
        <v>1235</v>
      </c>
      <c r="X47" s="175">
        <v>4.1597010000000001</v>
      </c>
      <c r="Y47" s="175">
        <v>0.97521100000000005</v>
      </c>
      <c r="Z47" s="175">
        <v>0.97521100000000005</v>
      </c>
      <c r="AA47" s="175">
        <v>9.7429999999999999E-3</v>
      </c>
      <c r="AB47" s="175">
        <v>1.6362999999999999E-2</v>
      </c>
      <c r="AC47" s="175">
        <v>9.5999999999999992E-3</v>
      </c>
      <c r="AD47" s="175">
        <v>9.698E-3</v>
      </c>
    </row>
    <row r="48" spans="1:30">
      <c r="A48" s="170" t="s">
        <v>503</v>
      </c>
      <c r="B48" s="170" t="s">
        <v>535</v>
      </c>
      <c r="C48" s="170" t="s">
        <v>928</v>
      </c>
      <c r="D48" s="170" t="s">
        <v>927</v>
      </c>
      <c r="E48" s="170" t="s">
        <v>491</v>
      </c>
      <c r="F48" s="170" t="s">
        <v>547</v>
      </c>
      <c r="G48" s="170" t="s">
        <v>498</v>
      </c>
      <c r="H48" s="170" t="s">
        <v>588</v>
      </c>
      <c r="I48" s="170" t="s">
        <v>39</v>
      </c>
      <c r="J48" s="170" t="s">
        <v>926</v>
      </c>
      <c r="K48" s="170" t="s">
        <v>511</v>
      </c>
      <c r="L48" s="170" t="s">
        <v>111</v>
      </c>
      <c r="M48" s="175">
        <v>1700000</v>
      </c>
      <c r="N48" s="175">
        <v>100.74</v>
      </c>
      <c r="O48" s="175">
        <v>1</v>
      </c>
      <c r="P48" s="175">
        <v>1</v>
      </c>
      <c r="Q48" s="393">
        <v>525447607.44999999</v>
      </c>
      <c r="R48" s="390">
        <v>3.2672999999999999E-3</v>
      </c>
      <c r="S48" s="175">
        <v>5.25</v>
      </c>
      <c r="T48" s="175">
        <v>1.5070000000000001E-3</v>
      </c>
      <c r="U48" s="175">
        <v>5.0571000000000002</v>
      </c>
      <c r="V48" s="175">
        <v>1.1468000000000001E-2</v>
      </c>
      <c r="W48" s="175">
        <v>1266</v>
      </c>
      <c r="X48" s="175">
        <v>4.5770609999999996</v>
      </c>
      <c r="Y48" s="175">
        <v>0.47513699999999998</v>
      </c>
      <c r="Z48" s="175">
        <v>0.47513699999999998</v>
      </c>
      <c r="AA48" s="175">
        <v>1.5219999999999999E-3</v>
      </c>
      <c r="AB48" s="175">
        <v>1.6469000000000001E-2</v>
      </c>
      <c r="AC48" s="175">
        <v>1.5020000000000001E-3</v>
      </c>
      <c r="AD48" s="175">
        <v>1.5169999999999999E-3</v>
      </c>
    </row>
    <row r="49" spans="1:30">
      <c r="A49" s="170" t="s">
        <v>503</v>
      </c>
      <c r="B49" s="170" t="s">
        <v>535</v>
      </c>
      <c r="C49" s="170" t="s">
        <v>925</v>
      </c>
      <c r="D49" s="170" t="s">
        <v>924</v>
      </c>
      <c r="E49" s="170" t="s">
        <v>491</v>
      </c>
      <c r="F49" s="170" t="s">
        <v>547</v>
      </c>
      <c r="G49" s="170" t="s">
        <v>498</v>
      </c>
      <c r="H49" s="170" t="s">
        <v>588</v>
      </c>
      <c r="I49" s="170" t="s">
        <v>39</v>
      </c>
      <c r="J49" s="170" t="s">
        <v>923</v>
      </c>
      <c r="K49" s="170" t="s">
        <v>760</v>
      </c>
      <c r="L49" s="170" t="s">
        <v>112</v>
      </c>
      <c r="M49" s="175">
        <v>700000</v>
      </c>
      <c r="N49" s="175">
        <v>99.864999999999995</v>
      </c>
      <c r="O49" s="175">
        <v>1</v>
      </c>
      <c r="P49" s="175">
        <v>1</v>
      </c>
      <c r="Q49" s="393">
        <v>525447607.44999999</v>
      </c>
      <c r="R49" s="390">
        <v>1.3324400000000001E-3</v>
      </c>
      <c r="S49" s="175">
        <v>3.25</v>
      </c>
      <c r="T49" s="175">
        <v>1.903E-3</v>
      </c>
      <c r="U49" s="175">
        <v>3.5724</v>
      </c>
      <c r="V49" s="175">
        <v>4.7569999999999999E-3</v>
      </c>
      <c r="W49" s="175">
        <v>535</v>
      </c>
      <c r="X49" s="175">
        <v>0.78879999999999995</v>
      </c>
      <c r="Y49" s="175">
        <v>0.21235000000000001</v>
      </c>
      <c r="Z49" s="175">
        <v>0.21235000000000001</v>
      </c>
      <c r="AA49" s="175">
        <v>1.921E-3</v>
      </c>
      <c r="AB49" s="175">
        <v>4.7479999999999996E-3</v>
      </c>
      <c r="AC49" s="175">
        <v>1.8979999999999999E-3</v>
      </c>
      <c r="AD49" s="175">
        <v>1.916E-3</v>
      </c>
    </row>
    <row r="50" spans="1:30">
      <c r="A50" s="170" t="s">
        <v>503</v>
      </c>
      <c r="B50" s="170" t="s">
        <v>535</v>
      </c>
      <c r="C50" s="170" t="s">
        <v>922</v>
      </c>
      <c r="D50" s="170" t="s">
        <v>921</v>
      </c>
      <c r="E50" s="170" t="s">
        <v>491</v>
      </c>
      <c r="F50" s="170" t="s">
        <v>537</v>
      </c>
      <c r="G50" s="170" t="s">
        <v>498</v>
      </c>
      <c r="H50" s="170" t="s">
        <v>622</v>
      </c>
      <c r="I50" s="170" t="s">
        <v>39</v>
      </c>
      <c r="J50" s="170" t="s">
        <v>587</v>
      </c>
      <c r="K50" s="170" t="s">
        <v>586</v>
      </c>
      <c r="L50" s="170" t="s">
        <v>115</v>
      </c>
      <c r="M50" s="175">
        <v>1800000</v>
      </c>
      <c r="N50" s="175">
        <v>90.495999999999995</v>
      </c>
      <c r="O50" s="175">
        <v>1</v>
      </c>
      <c r="P50" s="175">
        <v>1</v>
      </c>
      <c r="Q50" s="393">
        <v>525447607.44999999</v>
      </c>
      <c r="R50" s="390">
        <v>3.1131000000000002E-3</v>
      </c>
      <c r="S50" s="175">
        <v>3.75</v>
      </c>
      <c r="T50" s="175">
        <v>7.9139999999999992E-3</v>
      </c>
      <c r="U50" s="175">
        <v>7.1525999999999996</v>
      </c>
      <c r="V50" s="175">
        <v>2.5527000000000001E-2</v>
      </c>
      <c r="W50" s="175">
        <v>19847</v>
      </c>
      <c r="X50" s="175">
        <v>68.367840999999999</v>
      </c>
      <c r="Y50" s="175">
        <v>1.836897</v>
      </c>
      <c r="Z50" s="175">
        <v>1.836897</v>
      </c>
      <c r="AA50" s="175">
        <v>7.9920000000000008E-3</v>
      </c>
      <c r="AB50" s="175">
        <v>2.2065000000000001E-2</v>
      </c>
      <c r="AC50" s="175">
        <v>7.842E-3</v>
      </c>
      <c r="AD50" s="175">
        <v>7.9190000000000007E-3</v>
      </c>
    </row>
    <row r="51" spans="1:30">
      <c r="A51" s="170" t="s">
        <v>503</v>
      </c>
      <c r="B51" s="170" t="s">
        <v>535</v>
      </c>
      <c r="C51" s="170" t="s">
        <v>920</v>
      </c>
      <c r="D51" s="170" t="s">
        <v>802</v>
      </c>
      <c r="E51" s="170" t="s">
        <v>491</v>
      </c>
      <c r="F51" s="170" t="s">
        <v>571</v>
      </c>
      <c r="G51" s="170" t="s">
        <v>498</v>
      </c>
      <c r="H51" s="170" t="s">
        <v>567</v>
      </c>
      <c r="I51" s="170" t="s">
        <v>39</v>
      </c>
      <c r="J51" s="170" t="s">
        <v>587</v>
      </c>
      <c r="K51" s="170" t="s">
        <v>586</v>
      </c>
      <c r="L51" s="170" t="s">
        <v>41</v>
      </c>
      <c r="M51" s="175">
        <v>2100000</v>
      </c>
      <c r="N51" s="175">
        <v>94.951999999999998</v>
      </c>
      <c r="O51" s="175">
        <v>1</v>
      </c>
      <c r="P51" s="175">
        <v>1</v>
      </c>
      <c r="Q51" s="393">
        <v>525447607.44999999</v>
      </c>
      <c r="R51" s="390">
        <v>3.82424E-3</v>
      </c>
      <c r="S51" s="175">
        <v>2.3759999999999999</v>
      </c>
      <c r="T51" s="175">
        <v>1.2614999999999999E-2</v>
      </c>
      <c r="U51" s="175">
        <v>5.2267999999999999</v>
      </c>
      <c r="V51" s="175">
        <v>1.5678999999999998E-2</v>
      </c>
      <c r="W51" s="175">
        <v>19847</v>
      </c>
      <c r="X51" s="175">
        <v>83.985513999999995</v>
      </c>
      <c r="Y51" s="175">
        <v>0.75723700000000005</v>
      </c>
      <c r="Z51" s="175">
        <v>0.75723700000000005</v>
      </c>
      <c r="AA51" s="175">
        <v>1.2744999999999999E-2</v>
      </c>
      <c r="AB51" s="175">
        <v>1.9914999999999999E-2</v>
      </c>
      <c r="AC51" s="175">
        <v>1.2569E-2</v>
      </c>
      <c r="AD51" s="175">
        <v>1.2697999999999999E-2</v>
      </c>
    </row>
    <row r="52" spans="1:30">
      <c r="A52" s="170" t="s">
        <v>503</v>
      </c>
      <c r="B52" s="170" t="s">
        <v>535</v>
      </c>
      <c r="C52" s="170" t="s">
        <v>919</v>
      </c>
      <c r="D52" s="170" t="s">
        <v>918</v>
      </c>
      <c r="E52" s="170" t="s">
        <v>491</v>
      </c>
      <c r="F52" s="170" t="s">
        <v>532</v>
      </c>
      <c r="G52" s="170" t="s">
        <v>531</v>
      </c>
      <c r="H52" s="170" t="s">
        <v>551</v>
      </c>
      <c r="I52" s="170" t="s">
        <v>39</v>
      </c>
      <c r="J52" s="170" t="s">
        <v>799</v>
      </c>
      <c r="K52" s="170" t="s">
        <v>511</v>
      </c>
      <c r="L52" s="170" t="s">
        <v>113</v>
      </c>
      <c r="M52" s="175">
        <v>1524000</v>
      </c>
      <c r="N52" s="175">
        <v>96.233000000000004</v>
      </c>
      <c r="O52" s="175">
        <v>1</v>
      </c>
      <c r="P52" s="175">
        <v>1</v>
      </c>
      <c r="Q52" s="393">
        <v>525447607.44999999</v>
      </c>
      <c r="R52" s="390">
        <v>2.8213999999999999E-3</v>
      </c>
      <c r="S52" s="175">
        <v>2.25</v>
      </c>
      <c r="T52" s="175">
        <v>9.1970000000000003E-3</v>
      </c>
      <c r="U52" s="175">
        <v>3.4670000000000001</v>
      </c>
      <c r="V52" s="175">
        <v>9.7900000000000001E-3</v>
      </c>
      <c r="W52" s="175">
        <v>1294</v>
      </c>
      <c r="X52" s="175">
        <v>4.039828</v>
      </c>
      <c r="Y52" s="175">
        <v>0.38674999999999998</v>
      </c>
      <c r="Z52" s="175">
        <v>0.38674999999999998</v>
      </c>
      <c r="AA52" s="175">
        <v>9.2499999999999995E-3</v>
      </c>
      <c r="AB52" s="175">
        <v>9.7560000000000008E-3</v>
      </c>
      <c r="AC52" s="175">
        <v>9.1730000000000006E-3</v>
      </c>
      <c r="AD52" s="175">
        <v>9.2259999999999998E-3</v>
      </c>
    </row>
    <row r="53" spans="1:30">
      <c r="A53" s="170" t="s">
        <v>503</v>
      </c>
      <c r="B53" s="170" t="s">
        <v>535</v>
      </c>
      <c r="C53" s="170" t="s">
        <v>917</v>
      </c>
      <c r="D53" s="170" t="s">
        <v>916</v>
      </c>
      <c r="E53" s="170" t="s">
        <v>491</v>
      </c>
      <c r="F53" s="170" t="s">
        <v>532</v>
      </c>
      <c r="G53" s="170" t="s">
        <v>531</v>
      </c>
      <c r="H53" s="170" t="s">
        <v>551</v>
      </c>
      <c r="I53" s="170" t="s">
        <v>39</v>
      </c>
      <c r="J53" s="170" t="s">
        <v>915</v>
      </c>
      <c r="K53" s="170" t="s">
        <v>760</v>
      </c>
      <c r="L53" s="170" t="s">
        <v>114</v>
      </c>
      <c r="M53" s="175">
        <v>4021000</v>
      </c>
      <c r="N53" s="175">
        <v>97.242000000000004</v>
      </c>
      <c r="O53" s="175">
        <v>1</v>
      </c>
      <c r="P53" s="175">
        <v>1</v>
      </c>
      <c r="Q53" s="393">
        <v>525447607.44999999</v>
      </c>
      <c r="R53" s="390">
        <v>7.5160299999999999E-3</v>
      </c>
      <c r="S53" s="175">
        <v>2.875</v>
      </c>
      <c r="T53" s="175">
        <v>1.8814999999999998E-2</v>
      </c>
      <c r="U53" s="175">
        <v>4.1044</v>
      </c>
      <c r="V53" s="175">
        <v>3.0816E-2</v>
      </c>
      <c r="W53" s="175">
        <v>975</v>
      </c>
      <c r="X53" s="175">
        <v>8.1088059999999995</v>
      </c>
      <c r="Y53" s="175">
        <v>1.562961</v>
      </c>
      <c r="Z53" s="175">
        <v>1.562961</v>
      </c>
      <c r="AA53" s="175">
        <v>1.8952E-2</v>
      </c>
      <c r="AB53" s="175">
        <v>3.0752000000000002E-2</v>
      </c>
      <c r="AC53" s="175">
        <v>1.8756999999999999E-2</v>
      </c>
      <c r="AD53" s="175">
        <v>1.8891999999999999E-2</v>
      </c>
    </row>
    <row r="54" spans="1:30">
      <c r="A54" s="170" t="s">
        <v>503</v>
      </c>
      <c r="B54" s="170" t="s">
        <v>535</v>
      </c>
      <c r="C54" s="170" t="s">
        <v>914</v>
      </c>
      <c r="D54" s="170" t="s">
        <v>913</v>
      </c>
      <c r="E54" s="170" t="s">
        <v>491</v>
      </c>
      <c r="F54" s="170" t="s">
        <v>532</v>
      </c>
      <c r="G54" s="170" t="s">
        <v>531</v>
      </c>
      <c r="H54" s="170" t="s">
        <v>634</v>
      </c>
      <c r="I54" s="170" t="s">
        <v>39</v>
      </c>
      <c r="J54" s="170" t="s">
        <v>724</v>
      </c>
      <c r="K54" s="170" t="s">
        <v>511</v>
      </c>
      <c r="L54" s="170" t="s">
        <v>113</v>
      </c>
      <c r="M54" s="175">
        <v>2170000</v>
      </c>
      <c r="N54" s="175">
        <v>97.897000000000006</v>
      </c>
      <c r="O54" s="175">
        <v>1</v>
      </c>
      <c r="P54" s="175">
        <v>1</v>
      </c>
      <c r="Q54" s="393">
        <v>525447607.44999999</v>
      </c>
      <c r="R54" s="390">
        <v>4.0598099999999996E-3</v>
      </c>
      <c r="S54" s="175">
        <v>3.125</v>
      </c>
      <c r="T54" s="175">
        <v>1.3272000000000001E-2</v>
      </c>
      <c r="U54" s="175">
        <v>3.9028999999999998</v>
      </c>
      <c r="V54" s="175">
        <v>1.5833E-2</v>
      </c>
      <c r="W54" s="175">
        <v>1416</v>
      </c>
      <c r="X54" s="175">
        <v>6.3611139999999997</v>
      </c>
      <c r="Y54" s="175">
        <v>0.68490200000000001</v>
      </c>
      <c r="Z54" s="175">
        <v>0.68490200000000001</v>
      </c>
      <c r="AA54" s="175">
        <v>1.3240999999999999E-2</v>
      </c>
      <c r="AB54" s="175">
        <v>1.5779000000000001E-2</v>
      </c>
      <c r="AC54" s="175">
        <v>1.3217E-2</v>
      </c>
      <c r="AD54" s="175">
        <v>1.3186E-2</v>
      </c>
    </row>
    <row r="55" spans="1:30">
      <c r="A55" s="170" t="s">
        <v>503</v>
      </c>
      <c r="B55" s="170" t="s">
        <v>535</v>
      </c>
      <c r="C55" s="170" t="s">
        <v>912</v>
      </c>
      <c r="D55" s="170" t="s">
        <v>911</v>
      </c>
      <c r="E55" s="170" t="s">
        <v>491</v>
      </c>
      <c r="F55" s="170" t="s">
        <v>576</v>
      </c>
      <c r="G55" s="170" t="s">
        <v>498</v>
      </c>
      <c r="H55" s="170" t="s">
        <v>551</v>
      </c>
      <c r="I55" s="170" t="s">
        <v>39</v>
      </c>
      <c r="J55" s="170" t="s">
        <v>910</v>
      </c>
      <c r="K55" s="170" t="s">
        <v>760</v>
      </c>
      <c r="L55" s="170" t="s">
        <v>113</v>
      </c>
      <c r="M55" s="175">
        <v>4930000</v>
      </c>
      <c r="N55" s="175">
        <v>100.532</v>
      </c>
      <c r="O55" s="175">
        <v>1</v>
      </c>
      <c r="P55" s="175">
        <v>1</v>
      </c>
      <c r="Q55" s="393">
        <v>525447607.44999999</v>
      </c>
      <c r="R55" s="390">
        <v>9.5474199999999992E-3</v>
      </c>
      <c r="S55" s="175">
        <v>4.125</v>
      </c>
      <c r="T55" s="175">
        <v>1.2525E-2</v>
      </c>
      <c r="U55" s="175">
        <v>4.1414</v>
      </c>
      <c r="V55" s="175">
        <v>3.8857999999999997E-2</v>
      </c>
      <c r="W55" s="175">
        <v>990</v>
      </c>
      <c r="X55" s="175">
        <v>10.458887000000001</v>
      </c>
      <c r="Y55" s="175">
        <v>1.7096880000000001</v>
      </c>
      <c r="Z55" s="175">
        <v>1.7096880000000001</v>
      </c>
      <c r="AA55" s="175">
        <v>1.2305E-2</v>
      </c>
      <c r="AB55" s="175">
        <v>3.9427999999999998E-2</v>
      </c>
      <c r="AC55" s="175">
        <v>1.2489999999999999E-2</v>
      </c>
      <c r="AD55" s="175">
        <v>1.227E-2</v>
      </c>
    </row>
    <row r="56" spans="1:30">
      <c r="A56" s="170" t="s">
        <v>503</v>
      </c>
      <c r="B56" s="170" t="s">
        <v>535</v>
      </c>
      <c r="C56" s="170" t="s">
        <v>909</v>
      </c>
      <c r="D56" s="170" t="s">
        <v>908</v>
      </c>
      <c r="E56" s="170" t="s">
        <v>491</v>
      </c>
      <c r="F56" s="170" t="s">
        <v>576</v>
      </c>
      <c r="G56" s="170" t="s">
        <v>498</v>
      </c>
      <c r="H56" s="170" t="s">
        <v>575</v>
      </c>
      <c r="I56" s="170" t="s">
        <v>39</v>
      </c>
      <c r="J56" s="170" t="s">
        <v>587</v>
      </c>
      <c r="K56" s="170" t="s">
        <v>586</v>
      </c>
      <c r="L56" s="170" t="s">
        <v>63</v>
      </c>
      <c r="M56" s="175">
        <v>6500000</v>
      </c>
      <c r="N56" s="175">
        <v>96.41</v>
      </c>
      <c r="O56" s="175">
        <v>1</v>
      </c>
      <c r="P56" s="175">
        <v>1</v>
      </c>
      <c r="Q56" s="393">
        <v>525447607.44999999</v>
      </c>
      <c r="R56" s="390">
        <v>1.2160580000000001E-2</v>
      </c>
      <c r="S56" s="175">
        <v>4.375</v>
      </c>
      <c r="T56" s="175">
        <v>5.9725E-2</v>
      </c>
      <c r="U56" s="175">
        <v>5.9112999999999998</v>
      </c>
      <c r="V56" s="175">
        <v>6.2992000000000006E-2</v>
      </c>
      <c r="W56" s="175">
        <v>19847</v>
      </c>
      <c r="X56" s="175">
        <v>267.06275299999999</v>
      </c>
      <c r="Y56" s="175">
        <v>3.396906</v>
      </c>
      <c r="Z56" s="175">
        <v>3.396906</v>
      </c>
      <c r="AA56" s="175">
        <v>6.0398E-2</v>
      </c>
      <c r="AB56" s="175">
        <v>7.1723999999999996E-2</v>
      </c>
      <c r="AC56" s="175">
        <v>5.9590999999999998E-2</v>
      </c>
      <c r="AD56" s="175">
        <v>6.0262999999999997E-2</v>
      </c>
    </row>
    <row r="57" spans="1:30">
      <c r="A57" s="170" t="s">
        <v>503</v>
      </c>
      <c r="B57" s="170" t="s">
        <v>535</v>
      </c>
      <c r="C57" s="170" t="s">
        <v>907</v>
      </c>
      <c r="D57" s="170" t="s">
        <v>906</v>
      </c>
      <c r="E57" s="170" t="s">
        <v>491</v>
      </c>
      <c r="F57" s="170" t="s">
        <v>532</v>
      </c>
      <c r="G57" s="170" t="s">
        <v>531</v>
      </c>
      <c r="H57" s="170" t="s">
        <v>508</v>
      </c>
      <c r="I57" s="170" t="s">
        <v>39</v>
      </c>
      <c r="J57" s="170" t="s">
        <v>905</v>
      </c>
      <c r="K57" s="170" t="s">
        <v>511</v>
      </c>
      <c r="L57" s="170" t="s">
        <v>112</v>
      </c>
      <c r="M57" s="175">
        <v>2924000</v>
      </c>
      <c r="N57" s="175">
        <v>97.769000000000005</v>
      </c>
      <c r="O57" s="175">
        <v>1</v>
      </c>
      <c r="P57" s="175">
        <v>1</v>
      </c>
      <c r="Q57" s="393">
        <v>525447607.44999999</v>
      </c>
      <c r="R57" s="390">
        <v>5.4741700000000004E-3</v>
      </c>
      <c r="S57" s="175">
        <v>3.5</v>
      </c>
      <c r="T57" s="175">
        <v>1.7625999999999999E-2</v>
      </c>
      <c r="U57" s="175">
        <v>4.2868000000000004</v>
      </c>
      <c r="V57" s="175">
        <v>2.3484000000000001E-2</v>
      </c>
      <c r="W57" s="175">
        <v>1401</v>
      </c>
      <c r="X57" s="175">
        <v>8.4863440000000008</v>
      </c>
      <c r="Y57" s="175">
        <v>1.1266970000000001</v>
      </c>
      <c r="Z57" s="175">
        <v>1.1266970000000001</v>
      </c>
      <c r="AA57" s="175">
        <v>1.7575E-2</v>
      </c>
      <c r="AB57" s="175">
        <v>2.3385E-2</v>
      </c>
      <c r="AC57" s="175">
        <v>1.7565000000000001E-2</v>
      </c>
      <c r="AD57" s="175">
        <v>1.7513999999999998E-2</v>
      </c>
    </row>
    <row r="58" spans="1:30">
      <c r="A58" s="170" t="s">
        <v>503</v>
      </c>
      <c r="B58" s="170" t="s">
        <v>535</v>
      </c>
      <c r="C58" s="170" t="s">
        <v>904</v>
      </c>
      <c r="D58" s="170" t="s">
        <v>903</v>
      </c>
      <c r="E58" s="170" t="s">
        <v>491</v>
      </c>
      <c r="F58" s="170" t="s">
        <v>514</v>
      </c>
      <c r="G58" s="170" t="s">
        <v>498</v>
      </c>
      <c r="H58" s="170" t="s">
        <v>642</v>
      </c>
      <c r="I58" s="170" t="s">
        <v>39</v>
      </c>
      <c r="J58" s="170" t="s">
        <v>902</v>
      </c>
      <c r="K58" s="170" t="s">
        <v>760</v>
      </c>
      <c r="L58" s="170" t="s">
        <v>113</v>
      </c>
      <c r="M58" s="175">
        <v>2124000</v>
      </c>
      <c r="N58" s="175">
        <v>97.667000000000002</v>
      </c>
      <c r="O58" s="175">
        <v>1</v>
      </c>
      <c r="P58" s="175">
        <v>1</v>
      </c>
      <c r="Q58" s="393">
        <v>525447607.44999999</v>
      </c>
      <c r="R58" s="390">
        <v>3.96116E-3</v>
      </c>
      <c r="S58" s="175">
        <v>2.5</v>
      </c>
      <c r="T58" s="175">
        <v>1.0324E-2</v>
      </c>
      <c r="U58" s="175">
        <v>3.4803000000000002</v>
      </c>
      <c r="V58" s="175">
        <v>1.3785E-2</v>
      </c>
      <c r="W58" s="175">
        <v>1030</v>
      </c>
      <c r="X58" s="175">
        <v>4.51464</v>
      </c>
      <c r="Y58" s="175">
        <v>0.57293499999999997</v>
      </c>
      <c r="Z58" s="175">
        <v>0.57293499999999997</v>
      </c>
      <c r="AA58" s="175">
        <v>1.0370000000000001E-2</v>
      </c>
      <c r="AB58" s="175">
        <v>1.3747000000000001E-2</v>
      </c>
      <c r="AC58" s="175">
        <v>1.0293999999999999E-2</v>
      </c>
      <c r="AD58" s="175">
        <v>1.034E-2</v>
      </c>
    </row>
    <row r="59" spans="1:30">
      <c r="A59" s="170" t="s">
        <v>503</v>
      </c>
      <c r="B59" s="170" t="s">
        <v>535</v>
      </c>
      <c r="C59" s="170" t="s">
        <v>901</v>
      </c>
      <c r="D59" s="170" t="s">
        <v>900</v>
      </c>
      <c r="E59" s="170" t="s">
        <v>491</v>
      </c>
      <c r="F59" s="170" t="s">
        <v>499</v>
      </c>
      <c r="G59" s="170" t="s">
        <v>498</v>
      </c>
      <c r="H59" s="170" t="s">
        <v>588</v>
      </c>
      <c r="I59" s="170" t="s">
        <v>39</v>
      </c>
      <c r="J59" s="170" t="s">
        <v>899</v>
      </c>
      <c r="K59" s="170" t="s">
        <v>760</v>
      </c>
      <c r="L59" s="170" t="s">
        <v>112</v>
      </c>
      <c r="M59" s="175">
        <v>4637000</v>
      </c>
      <c r="N59" s="175">
        <v>98.436999999999998</v>
      </c>
      <c r="O59" s="175">
        <v>1</v>
      </c>
      <c r="P59" s="175">
        <v>1</v>
      </c>
      <c r="Q59" s="393">
        <v>525447607.44999999</v>
      </c>
      <c r="R59" s="390">
        <v>8.7482700000000007E-3</v>
      </c>
      <c r="S59" s="175">
        <v>3.25</v>
      </c>
      <c r="T59" s="175">
        <v>2.1259E-2</v>
      </c>
      <c r="U59" s="175">
        <v>3.9929999999999999</v>
      </c>
      <c r="V59" s="175">
        <v>3.4906E-2</v>
      </c>
      <c r="W59" s="175">
        <v>1021</v>
      </c>
      <c r="X59" s="175">
        <v>9.8835270000000008</v>
      </c>
      <c r="Y59" s="175">
        <v>1.661913</v>
      </c>
      <c r="Z59" s="175">
        <v>1.661913</v>
      </c>
      <c r="AA59" s="175">
        <v>2.1246999999999999E-2</v>
      </c>
      <c r="AB59" s="175">
        <v>3.4818000000000002E-2</v>
      </c>
      <c r="AC59" s="175">
        <v>2.1190000000000001E-2</v>
      </c>
      <c r="AD59" s="175">
        <v>2.1177999999999999E-2</v>
      </c>
    </row>
    <row r="60" spans="1:30">
      <c r="A60" s="170" t="s">
        <v>503</v>
      </c>
      <c r="B60" s="170" t="s">
        <v>535</v>
      </c>
      <c r="C60" s="170" t="s">
        <v>898</v>
      </c>
      <c r="D60" s="170" t="s">
        <v>897</v>
      </c>
      <c r="E60" s="170" t="s">
        <v>491</v>
      </c>
      <c r="F60" s="170" t="s">
        <v>547</v>
      </c>
      <c r="G60" s="170" t="s">
        <v>498</v>
      </c>
      <c r="H60" s="170" t="s">
        <v>622</v>
      </c>
      <c r="I60" s="170" t="s">
        <v>39</v>
      </c>
      <c r="J60" s="170" t="s">
        <v>587</v>
      </c>
      <c r="K60" s="170" t="s">
        <v>586</v>
      </c>
      <c r="L60" s="170" t="s">
        <v>43</v>
      </c>
      <c r="M60" s="175">
        <v>2724000</v>
      </c>
      <c r="N60" s="175">
        <v>99.242999999999995</v>
      </c>
      <c r="O60" s="175">
        <v>1</v>
      </c>
      <c r="P60" s="175">
        <v>1</v>
      </c>
      <c r="Q60" s="393">
        <v>525447607.44999999</v>
      </c>
      <c r="R60" s="390">
        <v>5.2265799999999998E-3</v>
      </c>
      <c r="S60" s="175">
        <v>3.125</v>
      </c>
      <c r="T60" s="175">
        <v>6.4060000000000002E-3</v>
      </c>
      <c r="U60" s="175">
        <v>6.2643000000000004</v>
      </c>
      <c r="V60" s="175">
        <v>2.1010999999999998E-2</v>
      </c>
      <c r="W60" s="175">
        <v>19847</v>
      </c>
      <c r="X60" s="175">
        <v>114.78262599999999</v>
      </c>
      <c r="Y60" s="175">
        <v>1.0783640000000001</v>
      </c>
      <c r="Z60" s="175">
        <v>1.0783640000000001</v>
      </c>
      <c r="AA60" s="175">
        <v>6.4669999999999997E-3</v>
      </c>
      <c r="AB60" s="175">
        <v>3.2606999999999997E-2</v>
      </c>
      <c r="AC60" s="175">
        <v>6.3790000000000001E-3</v>
      </c>
      <c r="AD60" s="175">
        <v>6.4400000000000004E-3</v>
      </c>
    </row>
    <row r="61" spans="1:30">
      <c r="A61" s="170" t="s">
        <v>503</v>
      </c>
      <c r="B61" s="170" t="s">
        <v>535</v>
      </c>
      <c r="C61" s="170" t="s">
        <v>896</v>
      </c>
      <c r="D61" s="170" t="s">
        <v>895</v>
      </c>
      <c r="E61" s="170" t="s">
        <v>491</v>
      </c>
      <c r="F61" s="170" t="s">
        <v>894</v>
      </c>
      <c r="G61" s="170" t="s">
        <v>498</v>
      </c>
      <c r="H61" s="170" t="s">
        <v>508</v>
      </c>
      <c r="I61" s="170" t="s">
        <v>39</v>
      </c>
      <c r="J61" s="170" t="s">
        <v>893</v>
      </c>
      <c r="K61" s="170" t="s">
        <v>586</v>
      </c>
      <c r="L61" s="170" t="s">
        <v>43</v>
      </c>
      <c r="M61" s="175">
        <v>3805000</v>
      </c>
      <c r="N61" s="175">
        <v>96.388000000000005</v>
      </c>
      <c r="O61" s="175">
        <v>1</v>
      </c>
      <c r="P61" s="175">
        <v>1</v>
      </c>
      <c r="Q61" s="393">
        <v>525447607.44999999</v>
      </c>
      <c r="R61" s="390">
        <v>7.0126199999999998E-3</v>
      </c>
      <c r="S61" s="175">
        <v>1</v>
      </c>
      <c r="T61" s="175">
        <v>9.0629999999999999E-3</v>
      </c>
      <c r="U61" s="175">
        <v>4.0393999999999997</v>
      </c>
      <c r="V61" s="175">
        <v>2.8611000000000001E-2</v>
      </c>
      <c r="W61" s="175">
        <v>20658</v>
      </c>
      <c r="X61" s="175">
        <v>160.299657</v>
      </c>
      <c r="Y61" s="175">
        <v>1.478958</v>
      </c>
      <c r="Z61" s="175">
        <v>1.478958</v>
      </c>
      <c r="AA61" s="175">
        <v>9.1500000000000001E-3</v>
      </c>
      <c r="AB61" s="175">
        <v>2.826E-2</v>
      </c>
      <c r="AC61" s="175">
        <v>9.0419999999999997E-3</v>
      </c>
      <c r="AD61" s="175">
        <v>9.1280000000000007E-3</v>
      </c>
    </row>
    <row r="62" spans="1:30">
      <c r="A62" s="170" t="s">
        <v>503</v>
      </c>
      <c r="B62" s="170" t="s">
        <v>535</v>
      </c>
      <c r="C62" s="170" t="s">
        <v>892</v>
      </c>
      <c r="D62" s="170" t="s">
        <v>891</v>
      </c>
      <c r="E62" s="170" t="s">
        <v>491</v>
      </c>
      <c r="F62" s="170" t="s">
        <v>571</v>
      </c>
      <c r="G62" s="170" t="s">
        <v>498</v>
      </c>
      <c r="H62" s="170" t="s">
        <v>513</v>
      </c>
      <c r="I62" s="170" t="s">
        <v>39</v>
      </c>
      <c r="J62" s="170" t="s">
        <v>890</v>
      </c>
      <c r="K62" s="170" t="s">
        <v>760</v>
      </c>
      <c r="L62" s="170" t="s">
        <v>112</v>
      </c>
      <c r="M62" s="175">
        <v>1100000</v>
      </c>
      <c r="N62" s="175">
        <v>100.105</v>
      </c>
      <c r="O62" s="175">
        <v>1</v>
      </c>
      <c r="P62" s="175">
        <v>1</v>
      </c>
      <c r="Q62" s="393">
        <v>525447607.44999999</v>
      </c>
      <c r="R62" s="390">
        <v>2.1393499999999999E-3</v>
      </c>
      <c r="S62" s="175">
        <v>4.5</v>
      </c>
      <c r="T62" s="175">
        <v>1.8220000000000001E-3</v>
      </c>
      <c r="U62" s="175">
        <v>4.6254</v>
      </c>
      <c r="V62" s="175">
        <v>9.9050000000000006E-3</v>
      </c>
      <c r="W62" s="175">
        <v>563</v>
      </c>
      <c r="X62" s="175">
        <v>1.3327690000000001</v>
      </c>
      <c r="Y62" s="175">
        <v>0.54020599999999996</v>
      </c>
      <c r="Z62" s="175">
        <v>0.54020599999999996</v>
      </c>
      <c r="AA62" s="175">
        <v>1.81E-3</v>
      </c>
      <c r="AB62" s="175">
        <v>9.8700000000000003E-3</v>
      </c>
      <c r="AC62" s="175">
        <v>1.817E-3</v>
      </c>
      <c r="AD62" s="175">
        <v>1.8060000000000001E-3</v>
      </c>
    </row>
    <row r="63" spans="1:30">
      <c r="A63" s="170" t="s">
        <v>503</v>
      </c>
      <c r="B63" s="170" t="s">
        <v>535</v>
      </c>
      <c r="C63" s="170" t="s">
        <v>889</v>
      </c>
      <c r="D63" s="170" t="s">
        <v>888</v>
      </c>
      <c r="E63" s="170" t="s">
        <v>491</v>
      </c>
      <c r="F63" s="170" t="s">
        <v>514</v>
      </c>
      <c r="G63" s="170" t="s">
        <v>498</v>
      </c>
      <c r="H63" s="170" t="s">
        <v>508</v>
      </c>
      <c r="I63" s="170" t="s">
        <v>39</v>
      </c>
      <c r="J63" s="170" t="s">
        <v>887</v>
      </c>
      <c r="K63" s="170" t="s">
        <v>760</v>
      </c>
      <c r="L63" s="170" t="s">
        <v>111</v>
      </c>
      <c r="M63" s="175">
        <v>1746000</v>
      </c>
      <c r="N63" s="175">
        <v>98.661000000000001</v>
      </c>
      <c r="O63" s="175">
        <v>1</v>
      </c>
      <c r="P63" s="175">
        <v>1</v>
      </c>
      <c r="Q63" s="393">
        <v>525447607.44999999</v>
      </c>
      <c r="R63" s="390">
        <v>3.3163200000000002E-3</v>
      </c>
      <c r="S63" s="175">
        <v>3</v>
      </c>
      <c r="T63" s="175">
        <v>3.6340000000000001E-3</v>
      </c>
      <c r="U63" s="175">
        <v>4.6035000000000004</v>
      </c>
      <c r="V63" s="175">
        <v>1.5254999999999999E-2</v>
      </c>
      <c r="W63" s="175">
        <v>412</v>
      </c>
      <c r="X63" s="175">
        <v>1.5118830000000001</v>
      </c>
      <c r="Y63" s="175">
        <v>0.87302599999999997</v>
      </c>
      <c r="Z63" s="175">
        <v>0.87302599999999997</v>
      </c>
      <c r="AA63" s="175">
        <v>3.669E-3</v>
      </c>
      <c r="AB63" s="175">
        <v>1.5207999999999999E-2</v>
      </c>
      <c r="AC63" s="175">
        <v>3.62E-3</v>
      </c>
      <c r="AD63" s="175">
        <v>3.6549999999999998E-3</v>
      </c>
    </row>
    <row r="64" spans="1:30">
      <c r="A64" s="170" t="s">
        <v>503</v>
      </c>
      <c r="B64" s="170" t="s">
        <v>535</v>
      </c>
      <c r="C64" s="170" t="s">
        <v>886</v>
      </c>
      <c r="D64" s="170" t="s">
        <v>885</v>
      </c>
      <c r="E64" s="170" t="s">
        <v>491</v>
      </c>
      <c r="F64" s="170" t="s">
        <v>287</v>
      </c>
      <c r="G64" s="170" t="s">
        <v>498</v>
      </c>
      <c r="H64" s="170" t="s">
        <v>567</v>
      </c>
      <c r="I64" s="170" t="s">
        <v>39</v>
      </c>
      <c r="J64" s="170" t="s">
        <v>884</v>
      </c>
      <c r="K64" s="170" t="s">
        <v>511</v>
      </c>
      <c r="L64" s="170" t="s">
        <v>111</v>
      </c>
      <c r="M64" s="175">
        <v>2500000</v>
      </c>
      <c r="N64" s="175">
        <v>87.09</v>
      </c>
      <c r="O64" s="175">
        <v>1</v>
      </c>
      <c r="P64" s="175">
        <v>1</v>
      </c>
      <c r="Q64" s="393">
        <v>525447607.44999999</v>
      </c>
      <c r="R64" s="390">
        <v>4.2209600000000002E-3</v>
      </c>
      <c r="S64" s="175">
        <v>4.25</v>
      </c>
      <c r="T64" s="175">
        <v>1.5585E-2</v>
      </c>
      <c r="U64" s="175">
        <v>8.7928999999999995</v>
      </c>
      <c r="V64" s="175">
        <v>3.7102000000000003E-2</v>
      </c>
      <c r="W64" s="175">
        <v>1508</v>
      </c>
      <c r="X64" s="175">
        <v>7.0433029999999999</v>
      </c>
      <c r="Y64" s="175">
        <v>2.6079780000000001</v>
      </c>
      <c r="Z64" s="175">
        <v>2.6079780000000001</v>
      </c>
      <c r="AA64" s="175">
        <v>1.575E-2</v>
      </c>
      <c r="AB64" s="175">
        <v>3.6291999999999998E-2</v>
      </c>
      <c r="AC64" s="175">
        <v>1.5239000000000001E-2</v>
      </c>
      <c r="AD64" s="175">
        <v>1.54E-2</v>
      </c>
    </row>
    <row r="65" spans="1:30">
      <c r="A65" s="170" t="s">
        <v>503</v>
      </c>
      <c r="B65" s="170" t="s">
        <v>535</v>
      </c>
      <c r="C65" s="170" t="s">
        <v>883</v>
      </c>
      <c r="D65" s="170" t="s">
        <v>882</v>
      </c>
      <c r="E65" s="170" t="s">
        <v>491</v>
      </c>
      <c r="F65" s="170" t="s">
        <v>547</v>
      </c>
      <c r="G65" s="170" t="s">
        <v>498</v>
      </c>
      <c r="H65" s="170" t="s">
        <v>508</v>
      </c>
      <c r="I65" s="170" t="s">
        <v>39</v>
      </c>
      <c r="J65" s="170" t="s">
        <v>881</v>
      </c>
      <c r="K65" s="170" t="s">
        <v>511</v>
      </c>
      <c r="L65" s="170" t="s">
        <v>113</v>
      </c>
      <c r="M65" s="175">
        <v>4340000</v>
      </c>
      <c r="N65" s="175">
        <v>95.185000000000002</v>
      </c>
      <c r="O65" s="175">
        <v>1</v>
      </c>
      <c r="P65" s="175">
        <v>1</v>
      </c>
      <c r="Q65" s="393">
        <v>525447607.44999999</v>
      </c>
      <c r="R65" s="390">
        <v>8.0149000000000001E-3</v>
      </c>
      <c r="S65" s="175">
        <v>2</v>
      </c>
      <c r="T65" s="175">
        <v>2.3504000000000001E-2</v>
      </c>
      <c r="U65" s="175">
        <v>3.8450000000000002</v>
      </c>
      <c r="V65" s="175">
        <v>3.0856999999999999E-2</v>
      </c>
      <c r="W65" s="175">
        <v>1127</v>
      </c>
      <c r="X65" s="175">
        <v>9.9950709999999994</v>
      </c>
      <c r="Y65" s="175">
        <v>1.406973</v>
      </c>
      <c r="Z65" s="175">
        <v>1.406973</v>
      </c>
      <c r="AA65" s="175">
        <v>2.3734999999999999E-2</v>
      </c>
      <c r="AB65" s="175">
        <v>3.0643E-2</v>
      </c>
      <c r="AC65" s="175">
        <v>2.3369999999999998E-2</v>
      </c>
      <c r="AD65" s="175">
        <v>2.3599999999999999E-2</v>
      </c>
    </row>
    <row r="66" spans="1:30">
      <c r="A66" s="170" t="s">
        <v>503</v>
      </c>
      <c r="B66" s="170" t="s">
        <v>535</v>
      </c>
      <c r="C66" s="170" t="s">
        <v>880</v>
      </c>
      <c r="D66" s="170" t="s">
        <v>879</v>
      </c>
      <c r="E66" s="170" t="s">
        <v>491</v>
      </c>
      <c r="F66" s="170" t="s">
        <v>571</v>
      </c>
      <c r="G66" s="170" t="s">
        <v>498</v>
      </c>
      <c r="H66" s="170" t="s">
        <v>551</v>
      </c>
      <c r="I66" s="170" t="s">
        <v>39</v>
      </c>
      <c r="J66" s="170" t="s">
        <v>878</v>
      </c>
      <c r="K66" s="170" t="s">
        <v>511</v>
      </c>
      <c r="L66" s="170" t="s">
        <v>111</v>
      </c>
      <c r="M66" s="175">
        <v>4030000</v>
      </c>
      <c r="N66" s="175">
        <v>97.692999999999998</v>
      </c>
      <c r="O66" s="175">
        <v>1</v>
      </c>
      <c r="P66" s="175">
        <v>1</v>
      </c>
      <c r="Q66" s="393">
        <v>525447607.44999999</v>
      </c>
      <c r="R66" s="390">
        <v>7.6058100000000002E-3</v>
      </c>
      <c r="S66" s="175">
        <v>3.875</v>
      </c>
      <c r="T66" s="175">
        <v>2.103E-2</v>
      </c>
      <c r="U66" s="175">
        <v>4.8643000000000001</v>
      </c>
      <c r="V66" s="175">
        <v>3.6963999999999997E-2</v>
      </c>
      <c r="W66" s="175">
        <v>1143</v>
      </c>
      <c r="X66" s="175">
        <v>9.6195760000000003</v>
      </c>
      <c r="Y66" s="175">
        <v>2.0579450000000001</v>
      </c>
      <c r="Z66" s="175">
        <v>2.0579450000000001</v>
      </c>
      <c r="AA66" s="175">
        <v>2.1104999999999999E-2</v>
      </c>
      <c r="AB66" s="175">
        <v>3.6867999999999998E-2</v>
      </c>
      <c r="AC66" s="175">
        <v>2.0957E-2</v>
      </c>
      <c r="AD66" s="175">
        <v>2.1031000000000001E-2</v>
      </c>
    </row>
    <row r="67" spans="1:30">
      <c r="A67" s="170" t="s">
        <v>503</v>
      </c>
      <c r="B67" s="170" t="s">
        <v>535</v>
      </c>
      <c r="C67" s="170" t="s">
        <v>877</v>
      </c>
      <c r="D67" s="170" t="s">
        <v>876</v>
      </c>
      <c r="E67" s="170" t="s">
        <v>491</v>
      </c>
      <c r="F67" s="170" t="s">
        <v>571</v>
      </c>
      <c r="G67" s="170" t="s">
        <v>498</v>
      </c>
      <c r="H67" s="170" t="s">
        <v>567</v>
      </c>
      <c r="I67" s="170" t="s">
        <v>39</v>
      </c>
      <c r="J67" s="170" t="s">
        <v>875</v>
      </c>
      <c r="K67" s="170" t="s">
        <v>511</v>
      </c>
      <c r="L67" s="170" t="s">
        <v>115</v>
      </c>
      <c r="M67" s="175">
        <v>2924000</v>
      </c>
      <c r="N67" s="175">
        <v>101.447</v>
      </c>
      <c r="O67" s="175">
        <v>1</v>
      </c>
      <c r="P67" s="175">
        <v>1</v>
      </c>
      <c r="Q67" s="393">
        <v>525447607.44999999</v>
      </c>
      <c r="R67" s="390">
        <v>5.7775999999999999E-3</v>
      </c>
      <c r="S67" s="175">
        <v>5.125</v>
      </c>
      <c r="T67" s="175">
        <v>7.8270000000000006E-3</v>
      </c>
      <c r="U67" s="175">
        <v>4.8951000000000002</v>
      </c>
      <c r="V67" s="175">
        <v>2.4093E-2</v>
      </c>
      <c r="W67" s="175">
        <v>1493</v>
      </c>
      <c r="X67" s="175">
        <v>9.5449000000000002</v>
      </c>
      <c r="Y67" s="175">
        <v>1.1783600000000001</v>
      </c>
      <c r="Z67" s="175">
        <v>1.1783600000000001</v>
      </c>
      <c r="AA67" s="175">
        <v>7.724E-3</v>
      </c>
      <c r="AB67" s="175">
        <v>2.818E-2</v>
      </c>
      <c r="AC67" s="175">
        <v>7.7990000000000004E-3</v>
      </c>
      <c r="AD67" s="175">
        <v>7.6959999999999997E-3</v>
      </c>
    </row>
    <row r="68" spans="1:30">
      <c r="A68" s="170" t="s">
        <v>503</v>
      </c>
      <c r="B68" s="170" t="s">
        <v>535</v>
      </c>
      <c r="C68" s="170" t="s">
        <v>874</v>
      </c>
      <c r="D68" s="170" t="s">
        <v>873</v>
      </c>
      <c r="E68" s="170" t="s">
        <v>491</v>
      </c>
      <c r="F68" s="170" t="s">
        <v>583</v>
      </c>
      <c r="G68" s="170" t="s">
        <v>582</v>
      </c>
      <c r="H68" s="170" t="s">
        <v>551</v>
      </c>
      <c r="I68" s="170" t="s">
        <v>39</v>
      </c>
      <c r="J68" s="170" t="s">
        <v>872</v>
      </c>
      <c r="K68" s="170" t="s">
        <v>511</v>
      </c>
      <c r="L68" s="170" t="s">
        <v>114</v>
      </c>
      <c r="M68" s="175">
        <v>3000000</v>
      </c>
      <c r="N68" s="175">
        <v>102.61799999999999</v>
      </c>
      <c r="O68" s="175">
        <v>1</v>
      </c>
      <c r="P68" s="175">
        <v>1</v>
      </c>
      <c r="Q68" s="393">
        <v>525447607.44999999</v>
      </c>
      <c r="R68" s="390">
        <v>5.9373000000000004E-3</v>
      </c>
      <c r="S68" s="175">
        <v>4.375</v>
      </c>
      <c r="T68" s="175">
        <v>2.4313999999999999E-2</v>
      </c>
      <c r="U68" s="175">
        <v>3.8858000000000001</v>
      </c>
      <c r="V68" s="175">
        <v>2.2918000000000001E-2</v>
      </c>
      <c r="W68" s="175">
        <v>1714</v>
      </c>
      <c r="X68" s="175">
        <v>11.260653</v>
      </c>
      <c r="Y68" s="175">
        <v>0.95928500000000005</v>
      </c>
      <c r="Z68" s="175">
        <v>0.95928500000000005</v>
      </c>
      <c r="AA68" s="175">
        <v>2.4514999999999999E-2</v>
      </c>
      <c r="AB68" s="175">
        <v>2.2991999999999999E-2</v>
      </c>
      <c r="AC68" s="175">
        <v>2.4230000000000002E-2</v>
      </c>
      <c r="AD68" s="175">
        <v>2.4431000000000001E-2</v>
      </c>
    </row>
    <row r="69" spans="1:30">
      <c r="A69" s="170" t="s">
        <v>503</v>
      </c>
      <c r="B69" s="170" t="s">
        <v>535</v>
      </c>
      <c r="C69" s="170" t="s">
        <v>871</v>
      </c>
      <c r="D69" s="170" t="s">
        <v>870</v>
      </c>
      <c r="E69" s="170" t="s">
        <v>491</v>
      </c>
      <c r="F69" s="170" t="s">
        <v>571</v>
      </c>
      <c r="G69" s="170" t="s">
        <v>498</v>
      </c>
      <c r="H69" s="170" t="s">
        <v>544</v>
      </c>
      <c r="I69" s="170" t="s">
        <v>39</v>
      </c>
      <c r="J69" s="170" t="s">
        <v>587</v>
      </c>
      <c r="K69" s="170" t="s">
        <v>586</v>
      </c>
      <c r="L69" s="170" t="s">
        <v>43</v>
      </c>
      <c r="M69" s="175">
        <v>3300000</v>
      </c>
      <c r="N69" s="175">
        <v>98.581999999999994</v>
      </c>
      <c r="O69" s="175">
        <v>1</v>
      </c>
      <c r="P69" s="175">
        <v>1</v>
      </c>
      <c r="Q69" s="393">
        <v>525447607.44999999</v>
      </c>
      <c r="R69" s="390">
        <v>6.2695800000000003E-3</v>
      </c>
      <c r="S69" s="175">
        <v>2.3740000000000001</v>
      </c>
      <c r="T69" s="175">
        <v>7.5649999999999997E-3</v>
      </c>
      <c r="U69" s="175">
        <v>5.0621999999999998</v>
      </c>
      <c r="V69" s="175">
        <v>2.3448E-2</v>
      </c>
      <c r="W69" s="175">
        <v>19847</v>
      </c>
      <c r="X69" s="175">
        <v>137.68839399999999</v>
      </c>
      <c r="Y69" s="175">
        <v>1.104752</v>
      </c>
      <c r="Z69" s="175">
        <v>1.104752</v>
      </c>
      <c r="AA69" s="175">
        <v>7.6369999999999997E-3</v>
      </c>
      <c r="AB69" s="175">
        <v>3.1677999999999998E-2</v>
      </c>
      <c r="AC69" s="175">
        <v>7.5500000000000003E-3</v>
      </c>
      <c r="AD69" s="175">
        <v>7.6229999999999996E-3</v>
      </c>
    </row>
    <row r="70" spans="1:30">
      <c r="A70" s="170" t="s">
        <v>503</v>
      </c>
      <c r="B70" s="170" t="s">
        <v>535</v>
      </c>
      <c r="C70" s="170" t="s">
        <v>869</v>
      </c>
      <c r="D70" s="170" t="s">
        <v>802</v>
      </c>
      <c r="E70" s="170" t="s">
        <v>491</v>
      </c>
      <c r="F70" s="170" t="s">
        <v>571</v>
      </c>
      <c r="G70" s="170" t="s">
        <v>498</v>
      </c>
      <c r="H70" s="170" t="s">
        <v>567</v>
      </c>
      <c r="I70" s="170" t="s">
        <v>39</v>
      </c>
      <c r="J70" s="170" t="s">
        <v>587</v>
      </c>
      <c r="K70" s="170" t="s">
        <v>586</v>
      </c>
      <c r="L70" s="170" t="s">
        <v>41</v>
      </c>
      <c r="M70" s="175">
        <v>1100000</v>
      </c>
      <c r="N70" s="175">
        <v>98.165999999999997</v>
      </c>
      <c r="O70" s="175">
        <v>1</v>
      </c>
      <c r="P70" s="175">
        <v>1</v>
      </c>
      <c r="Q70" s="393">
        <v>525447607.44999999</v>
      </c>
      <c r="R70" s="390">
        <v>2.0717399999999999E-3</v>
      </c>
      <c r="S70" s="175">
        <v>2.88</v>
      </c>
      <c r="T70" s="175">
        <v>4.9639999999999997E-3</v>
      </c>
      <c r="U70" s="175">
        <v>5.3864000000000001</v>
      </c>
      <c r="V70" s="175">
        <v>7.8100000000000001E-3</v>
      </c>
      <c r="W70" s="175">
        <v>19847</v>
      </c>
      <c r="X70" s="175">
        <v>45.498255</v>
      </c>
      <c r="Y70" s="175">
        <v>0.36674499999999999</v>
      </c>
      <c r="Z70" s="175">
        <v>0.36674499999999999</v>
      </c>
      <c r="AA70" s="175">
        <v>5.0130000000000001E-3</v>
      </c>
      <c r="AB70" s="175">
        <v>1.1127E-2</v>
      </c>
      <c r="AC70" s="175">
        <v>4.9500000000000004E-3</v>
      </c>
      <c r="AD70" s="175">
        <v>4.9979999999999998E-3</v>
      </c>
    </row>
    <row r="71" spans="1:30">
      <c r="A71" s="170" t="s">
        <v>503</v>
      </c>
      <c r="B71" s="170" t="s">
        <v>535</v>
      </c>
      <c r="C71" s="170" t="s">
        <v>868</v>
      </c>
      <c r="D71" s="170" t="s">
        <v>867</v>
      </c>
      <c r="E71" s="170" t="s">
        <v>491</v>
      </c>
      <c r="F71" s="170" t="s">
        <v>685</v>
      </c>
      <c r="G71" s="170" t="s">
        <v>498</v>
      </c>
      <c r="H71" s="170" t="s">
        <v>567</v>
      </c>
      <c r="I71" s="170" t="s">
        <v>39</v>
      </c>
      <c r="J71" s="170" t="s">
        <v>866</v>
      </c>
      <c r="K71" s="170" t="s">
        <v>511</v>
      </c>
      <c r="L71" s="170" t="s">
        <v>111</v>
      </c>
      <c r="M71" s="175">
        <v>900000</v>
      </c>
      <c r="N71" s="175">
        <v>99.457999999999998</v>
      </c>
      <c r="O71" s="175">
        <v>1</v>
      </c>
      <c r="P71" s="175">
        <v>1</v>
      </c>
      <c r="Q71" s="393">
        <v>525447607.44999999</v>
      </c>
      <c r="R71" s="390">
        <v>1.7120900000000001E-3</v>
      </c>
      <c r="S71" s="175">
        <v>3.75</v>
      </c>
      <c r="T71" s="175">
        <v>4.3620000000000004E-3</v>
      </c>
      <c r="U71" s="175">
        <v>4.0792999999999999</v>
      </c>
      <c r="V71" s="175">
        <v>6.9849999999999999E-3</v>
      </c>
      <c r="W71" s="175">
        <v>1235</v>
      </c>
      <c r="X71" s="175">
        <v>2.3396919999999999</v>
      </c>
      <c r="Y71" s="175">
        <v>0.31529499999999999</v>
      </c>
      <c r="Z71" s="175">
        <v>0.31529499999999999</v>
      </c>
      <c r="AA71" s="175">
        <v>4.3160000000000004E-3</v>
      </c>
      <c r="AB71" s="175">
        <v>6.9569999999999996E-3</v>
      </c>
      <c r="AC71" s="175">
        <v>4.3449999999999999E-3</v>
      </c>
      <c r="AD71" s="175">
        <v>4.2989999999999999E-3</v>
      </c>
    </row>
    <row r="72" spans="1:30">
      <c r="A72" s="170" t="s">
        <v>503</v>
      </c>
      <c r="B72" s="170" t="s">
        <v>535</v>
      </c>
      <c r="C72" s="170" t="s">
        <v>865</v>
      </c>
      <c r="D72" s="170" t="s">
        <v>864</v>
      </c>
      <c r="E72" s="170" t="s">
        <v>491</v>
      </c>
      <c r="F72" s="170" t="s">
        <v>685</v>
      </c>
      <c r="G72" s="170" t="s">
        <v>498</v>
      </c>
      <c r="H72" s="170" t="s">
        <v>567</v>
      </c>
      <c r="I72" s="170" t="s">
        <v>39</v>
      </c>
      <c r="J72" s="170" t="s">
        <v>863</v>
      </c>
      <c r="K72" s="170" t="s">
        <v>511</v>
      </c>
      <c r="L72" s="170" t="s">
        <v>111</v>
      </c>
      <c r="M72" s="175">
        <v>3246000</v>
      </c>
      <c r="N72" s="175">
        <v>100.80200000000001</v>
      </c>
      <c r="O72" s="175">
        <v>1</v>
      </c>
      <c r="P72" s="175">
        <v>1</v>
      </c>
      <c r="Q72" s="393">
        <v>525447607.44999999</v>
      </c>
      <c r="R72" s="390">
        <v>6.2714900000000002E-3</v>
      </c>
      <c r="S72" s="175">
        <v>5.5</v>
      </c>
      <c r="T72" s="175">
        <v>1.4677000000000001E-2</v>
      </c>
      <c r="U72" s="175">
        <v>5.4229000000000003</v>
      </c>
      <c r="V72" s="175">
        <v>3.3050999999999997E-2</v>
      </c>
      <c r="W72" s="175">
        <v>1600</v>
      </c>
      <c r="X72" s="175">
        <v>11.103374000000001</v>
      </c>
      <c r="Y72" s="175">
        <v>1.763903</v>
      </c>
      <c r="Z72" s="175">
        <v>1.763903</v>
      </c>
      <c r="AA72" s="175">
        <v>1.4330000000000001E-2</v>
      </c>
      <c r="AB72" s="175">
        <v>3.3895000000000002E-2</v>
      </c>
      <c r="AC72" s="175">
        <v>1.4626999999999999E-2</v>
      </c>
      <c r="AD72" s="175">
        <v>1.4282E-2</v>
      </c>
    </row>
    <row r="73" spans="1:30">
      <c r="A73" s="170" t="s">
        <v>503</v>
      </c>
      <c r="B73" s="170" t="s">
        <v>535</v>
      </c>
      <c r="C73" s="170" t="s">
        <v>862</v>
      </c>
      <c r="D73" s="170" t="s">
        <v>861</v>
      </c>
      <c r="E73" s="170" t="s">
        <v>491</v>
      </c>
      <c r="F73" s="170" t="s">
        <v>685</v>
      </c>
      <c r="G73" s="170" t="s">
        <v>498</v>
      </c>
      <c r="H73" s="170" t="s">
        <v>567</v>
      </c>
      <c r="I73" s="170" t="s">
        <v>39</v>
      </c>
      <c r="J73" s="170" t="s">
        <v>860</v>
      </c>
      <c r="K73" s="170" t="s">
        <v>495</v>
      </c>
      <c r="L73" s="170" t="s">
        <v>112</v>
      </c>
      <c r="M73" s="175">
        <v>3923000</v>
      </c>
      <c r="N73" s="175">
        <v>93.837999999999994</v>
      </c>
      <c r="O73" s="175">
        <v>1</v>
      </c>
      <c r="P73" s="175">
        <v>1</v>
      </c>
      <c r="Q73" s="393">
        <v>525447607.44999999</v>
      </c>
      <c r="R73" s="390">
        <v>7.0400799999999998E-3</v>
      </c>
      <c r="S73" s="175">
        <v>3.5</v>
      </c>
      <c r="T73" s="175">
        <v>3.8030000000000001E-2</v>
      </c>
      <c r="U73" s="175">
        <v>4.6723999999999997</v>
      </c>
      <c r="V73" s="175">
        <v>3.2877000000000003E-2</v>
      </c>
      <c r="W73" s="175">
        <v>2330</v>
      </c>
      <c r="X73" s="175">
        <v>18.150863000000001</v>
      </c>
      <c r="Y73" s="175">
        <v>1.546052</v>
      </c>
      <c r="Z73" s="175">
        <v>1.546052</v>
      </c>
      <c r="AA73" s="175">
        <v>3.8060999999999998E-2</v>
      </c>
      <c r="AB73" s="175">
        <v>3.2760999999999998E-2</v>
      </c>
      <c r="AC73" s="175">
        <v>3.7876E-2</v>
      </c>
      <c r="AD73" s="175">
        <v>3.7907000000000003E-2</v>
      </c>
    </row>
    <row r="74" spans="1:30">
      <c r="A74" s="170" t="s">
        <v>503</v>
      </c>
      <c r="B74" s="170" t="s">
        <v>535</v>
      </c>
      <c r="C74" s="170" t="s">
        <v>859</v>
      </c>
      <c r="D74" s="170" t="s">
        <v>802</v>
      </c>
      <c r="E74" s="170" t="s">
        <v>491</v>
      </c>
      <c r="F74" s="170" t="s">
        <v>571</v>
      </c>
      <c r="G74" s="170" t="s">
        <v>498</v>
      </c>
      <c r="H74" s="170" t="s">
        <v>567</v>
      </c>
      <c r="I74" s="170" t="s">
        <v>39</v>
      </c>
      <c r="J74" s="170" t="s">
        <v>587</v>
      </c>
      <c r="K74" s="170" t="s">
        <v>586</v>
      </c>
      <c r="L74" s="170" t="s">
        <v>41</v>
      </c>
      <c r="M74" s="175">
        <v>1700000</v>
      </c>
      <c r="N74" s="175">
        <v>110.248</v>
      </c>
      <c r="O74" s="175">
        <v>1</v>
      </c>
      <c r="P74" s="175">
        <v>1</v>
      </c>
      <c r="Q74" s="393">
        <v>525447607.44999999</v>
      </c>
      <c r="R74" s="390">
        <v>3.7456199999999999E-3</v>
      </c>
      <c r="S74" s="175">
        <v>7.125</v>
      </c>
      <c r="T74" s="175">
        <v>9.9019999999999993E-3</v>
      </c>
      <c r="U74" s="175">
        <v>6.4249000000000001</v>
      </c>
      <c r="V74" s="175">
        <v>1.3334E-2</v>
      </c>
      <c r="W74" s="175">
        <v>19847</v>
      </c>
      <c r="X74" s="175">
        <v>82.258945999999995</v>
      </c>
      <c r="Y74" s="175">
        <v>0.567048</v>
      </c>
      <c r="Z74" s="175">
        <v>0.567048</v>
      </c>
      <c r="AA74" s="175">
        <v>1.0000999999999999E-2</v>
      </c>
      <c r="AB74" s="175">
        <v>2.3987999999999999E-2</v>
      </c>
      <c r="AC74" s="175">
        <v>9.8700000000000003E-3</v>
      </c>
      <c r="AD74" s="175">
        <v>9.9679999999999994E-3</v>
      </c>
    </row>
    <row r="75" spans="1:30">
      <c r="A75" s="170" t="s">
        <v>503</v>
      </c>
      <c r="B75" s="170" t="s">
        <v>535</v>
      </c>
      <c r="C75" s="170" t="s">
        <v>858</v>
      </c>
      <c r="D75" s="170" t="s">
        <v>857</v>
      </c>
      <c r="E75" s="170" t="s">
        <v>491</v>
      </c>
      <c r="F75" s="170" t="s">
        <v>287</v>
      </c>
      <c r="G75" s="170" t="s">
        <v>498</v>
      </c>
      <c r="H75" s="170" t="s">
        <v>642</v>
      </c>
      <c r="I75" s="170" t="s">
        <v>39</v>
      </c>
      <c r="J75" s="170" t="s">
        <v>856</v>
      </c>
      <c r="K75" s="170" t="s">
        <v>760</v>
      </c>
      <c r="L75" s="170" t="s">
        <v>113</v>
      </c>
      <c r="M75" s="175">
        <v>1521000</v>
      </c>
      <c r="N75" s="175">
        <v>103.325</v>
      </c>
      <c r="O75" s="175">
        <v>1</v>
      </c>
      <c r="P75" s="175">
        <v>1</v>
      </c>
      <c r="Q75" s="393">
        <v>525447607.44999999</v>
      </c>
      <c r="R75" s="390">
        <v>3.0620399999999998E-3</v>
      </c>
      <c r="S75" s="175">
        <v>7.25</v>
      </c>
      <c r="T75" s="175">
        <v>3.0279999999999999E-3</v>
      </c>
      <c r="U75" s="175">
        <v>6.1492000000000004</v>
      </c>
      <c r="V75" s="175">
        <v>1.678E-2</v>
      </c>
      <c r="W75" s="175">
        <v>960</v>
      </c>
      <c r="X75" s="175">
        <v>3.2527200000000001</v>
      </c>
      <c r="Y75" s="175">
        <v>1.0083549999999999</v>
      </c>
      <c r="Z75" s="175">
        <v>1.0083549999999999</v>
      </c>
      <c r="AA75" s="175">
        <v>3.029E-3</v>
      </c>
      <c r="AB75" s="175">
        <v>1.8742000000000002E-2</v>
      </c>
      <c r="AC75" s="175">
        <v>3.0140000000000002E-3</v>
      </c>
      <c r="AD75" s="175">
        <v>3.0149999999999999E-3</v>
      </c>
    </row>
    <row r="76" spans="1:30">
      <c r="A76" s="170" t="s">
        <v>503</v>
      </c>
      <c r="B76" s="170" t="s">
        <v>535</v>
      </c>
      <c r="C76" s="170" t="s">
        <v>855</v>
      </c>
      <c r="D76" s="170" t="s">
        <v>854</v>
      </c>
      <c r="E76" s="170" t="s">
        <v>491</v>
      </c>
      <c r="F76" s="170" t="s">
        <v>571</v>
      </c>
      <c r="G76" s="170" t="s">
        <v>498</v>
      </c>
      <c r="H76" s="170" t="s">
        <v>513</v>
      </c>
      <c r="I76" s="170" t="s">
        <v>39</v>
      </c>
      <c r="J76" s="170" t="s">
        <v>853</v>
      </c>
      <c r="K76" s="170" t="s">
        <v>760</v>
      </c>
      <c r="L76" s="170" t="s">
        <v>112</v>
      </c>
      <c r="M76" s="175">
        <v>224000</v>
      </c>
      <c r="N76" s="175">
        <v>104.54600000000001</v>
      </c>
      <c r="O76" s="175">
        <v>1</v>
      </c>
      <c r="P76" s="175">
        <v>1</v>
      </c>
      <c r="Q76" s="393">
        <v>525447607.44999999</v>
      </c>
      <c r="R76" s="390">
        <v>4.1958000000000002E-4</v>
      </c>
      <c r="S76" s="175">
        <v>10.375</v>
      </c>
      <c r="T76" s="175">
        <v>7.8999999999999996E-5</v>
      </c>
      <c r="U76" s="175">
        <v>8.3388000000000009</v>
      </c>
      <c r="V76" s="175">
        <v>1.024E-3</v>
      </c>
      <c r="W76" s="175">
        <v>823</v>
      </c>
      <c r="X76" s="175">
        <v>0.382102</v>
      </c>
      <c r="Y76" s="175">
        <v>1.5734999999999999E-2</v>
      </c>
      <c r="Z76" s="175">
        <v>1.5734999999999999E-2</v>
      </c>
      <c r="AA76" s="175">
        <v>8.0000000000000007E-5</v>
      </c>
      <c r="AB76" s="175">
        <v>3.4840000000000001E-3</v>
      </c>
      <c r="AC76" s="175">
        <v>7.8999999999999996E-5</v>
      </c>
      <c r="AD76" s="175">
        <v>7.8999999999999996E-5</v>
      </c>
    </row>
    <row r="77" spans="1:30">
      <c r="A77" s="170" t="s">
        <v>503</v>
      </c>
      <c r="B77" s="170" t="s">
        <v>535</v>
      </c>
      <c r="C77" s="170" t="s">
        <v>852</v>
      </c>
      <c r="D77" s="170" t="s">
        <v>851</v>
      </c>
      <c r="E77" s="170" t="s">
        <v>491</v>
      </c>
      <c r="F77" s="170" t="s">
        <v>499</v>
      </c>
      <c r="G77" s="170" t="s">
        <v>498</v>
      </c>
      <c r="H77" s="170" t="s">
        <v>544</v>
      </c>
      <c r="I77" s="170" t="s">
        <v>39</v>
      </c>
      <c r="J77" s="170" t="s">
        <v>587</v>
      </c>
      <c r="K77" s="170" t="s">
        <v>586</v>
      </c>
      <c r="L77" s="170" t="s">
        <v>63</v>
      </c>
      <c r="M77" s="175">
        <v>1700000</v>
      </c>
      <c r="N77" s="175">
        <v>112.32299999999999</v>
      </c>
      <c r="O77" s="175">
        <v>1</v>
      </c>
      <c r="P77" s="175">
        <v>1</v>
      </c>
      <c r="Q77" s="393">
        <v>525447607.44999999</v>
      </c>
      <c r="R77" s="390">
        <v>3.6622099999999999E-3</v>
      </c>
      <c r="S77" s="175">
        <v>6.625</v>
      </c>
      <c r="T77" s="175">
        <v>1.7694999999999999E-2</v>
      </c>
      <c r="U77" s="175">
        <v>5.7934999999999999</v>
      </c>
      <c r="V77" s="175">
        <v>1.5308E-2</v>
      </c>
      <c r="W77" s="175">
        <v>19847</v>
      </c>
      <c r="X77" s="175">
        <v>80.427158000000006</v>
      </c>
      <c r="Y77" s="175">
        <v>0.678176</v>
      </c>
      <c r="Z77" s="175">
        <v>0.678176</v>
      </c>
      <c r="AA77" s="175">
        <v>1.7895000000000001E-2</v>
      </c>
      <c r="AB77" s="175">
        <v>2.1160999999999999E-2</v>
      </c>
      <c r="AC77" s="175">
        <v>1.7649000000000001E-2</v>
      </c>
      <c r="AD77" s="175">
        <v>1.7847999999999999E-2</v>
      </c>
    </row>
    <row r="78" spans="1:30">
      <c r="A78" s="170" t="s">
        <v>503</v>
      </c>
      <c r="B78" s="170" t="s">
        <v>535</v>
      </c>
      <c r="C78" s="170" t="s">
        <v>850</v>
      </c>
      <c r="D78" s="170" t="s">
        <v>849</v>
      </c>
      <c r="E78" s="170" t="s">
        <v>491</v>
      </c>
      <c r="F78" s="170" t="s">
        <v>547</v>
      </c>
      <c r="G78" s="170" t="s">
        <v>498</v>
      </c>
      <c r="H78" s="170" t="s">
        <v>588</v>
      </c>
      <c r="I78" s="170" t="s">
        <v>39</v>
      </c>
      <c r="J78" s="170" t="s">
        <v>848</v>
      </c>
      <c r="K78" s="170" t="s">
        <v>760</v>
      </c>
      <c r="L78" s="170" t="s">
        <v>112</v>
      </c>
      <c r="M78" s="175">
        <v>4553000</v>
      </c>
      <c r="N78" s="175">
        <v>103.76300000000001</v>
      </c>
      <c r="O78" s="175">
        <v>1</v>
      </c>
      <c r="P78" s="175">
        <v>1</v>
      </c>
      <c r="Q78" s="393">
        <v>525447607.44999999</v>
      </c>
      <c r="R78" s="390">
        <v>9.0202100000000007E-3</v>
      </c>
      <c r="S78" s="175">
        <v>7.125</v>
      </c>
      <c r="T78" s="175">
        <v>3.8170000000000001E-3</v>
      </c>
      <c r="U78" s="175">
        <v>5.6946000000000003</v>
      </c>
      <c r="V78" s="175">
        <v>2.9496000000000001E-2</v>
      </c>
      <c r="W78" s="175">
        <v>886</v>
      </c>
      <c r="X78" s="175">
        <v>8.8433019999999996</v>
      </c>
      <c r="Y78" s="175">
        <v>1.0822099999999999</v>
      </c>
      <c r="Z78" s="175">
        <v>1.0822099999999999</v>
      </c>
      <c r="AA78" s="175">
        <v>3.8549999999999999E-3</v>
      </c>
      <c r="AB78" s="175">
        <v>5.1174999999999998E-2</v>
      </c>
      <c r="AC78" s="175">
        <v>3.803E-3</v>
      </c>
      <c r="AD78" s="175">
        <v>3.8409999999999998E-3</v>
      </c>
    </row>
    <row r="79" spans="1:30">
      <c r="A79" s="170" t="s">
        <v>503</v>
      </c>
      <c r="B79" s="170" t="s">
        <v>535</v>
      </c>
      <c r="C79" s="170" t="s">
        <v>847</v>
      </c>
      <c r="D79" s="170" t="s">
        <v>846</v>
      </c>
      <c r="E79" s="170" t="s">
        <v>491</v>
      </c>
      <c r="F79" s="170" t="s">
        <v>499</v>
      </c>
      <c r="G79" s="170" t="s">
        <v>498</v>
      </c>
      <c r="H79" s="170" t="s">
        <v>612</v>
      </c>
      <c r="I79" s="170" t="s">
        <v>39</v>
      </c>
      <c r="J79" s="170" t="s">
        <v>845</v>
      </c>
      <c r="K79" s="170" t="s">
        <v>760</v>
      </c>
      <c r="L79" s="170" t="s">
        <v>111</v>
      </c>
      <c r="M79" s="175">
        <v>1521000</v>
      </c>
      <c r="N79" s="175">
        <v>105.592</v>
      </c>
      <c r="O79" s="175">
        <v>1</v>
      </c>
      <c r="P79" s="175">
        <v>1</v>
      </c>
      <c r="Q79" s="393">
        <v>525447607.44999999</v>
      </c>
      <c r="R79" s="390">
        <v>3.1064E-3</v>
      </c>
      <c r="S79" s="175">
        <v>10</v>
      </c>
      <c r="T79" s="175">
        <v>1.3420000000000001E-3</v>
      </c>
      <c r="U79" s="175">
        <v>7.8154000000000003</v>
      </c>
      <c r="V79" s="175">
        <v>1.2115000000000001E-2</v>
      </c>
      <c r="W79" s="175">
        <v>891</v>
      </c>
      <c r="X79" s="175">
        <v>3.0626600000000002</v>
      </c>
      <c r="Y79" s="175">
        <v>0.561253</v>
      </c>
      <c r="Z79" s="175">
        <v>0.561253</v>
      </c>
      <c r="AA79" s="175">
        <v>1.356E-3</v>
      </c>
      <c r="AB79" s="175">
        <v>2.4157999999999999E-2</v>
      </c>
      <c r="AC79" s="175">
        <v>1.3359999999999999E-3</v>
      </c>
      <c r="AD79" s="175">
        <v>1.3489999999999999E-3</v>
      </c>
    </row>
    <row r="80" spans="1:30">
      <c r="A80" s="170" t="s">
        <v>503</v>
      </c>
      <c r="B80" s="170" t="s">
        <v>535</v>
      </c>
      <c r="C80" s="170" t="s">
        <v>844</v>
      </c>
      <c r="D80" s="170" t="s">
        <v>843</v>
      </c>
      <c r="E80" s="170" t="s">
        <v>491</v>
      </c>
      <c r="F80" s="170" t="s">
        <v>583</v>
      </c>
      <c r="G80" s="170" t="s">
        <v>582</v>
      </c>
      <c r="H80" s="170" t="s">
        <v>551</v>
      </c>
      <c r="I80" s="170" t="s">
        <v>39</v>
      </c>
      <c r="J80" s="170" t="s">
        <v>638</v>
      </c>
      <c r="K80" s="170" t="s">
        <v>511</v>
      </c>
      <c r="L80" s="170" t="s">
        <v>114</v>
      </c>
      <c r="M80" s="175">
        <v>1400000</v>
      </c>
      <c r="N80" s="175">
        <v>113.74299999999999</v>
      </c>
      <c r="O80" s="175">
        <v>1</v>
      </c>
      <c r="P80" s="175">
        <v>1</v>
      </c>
      <c r="Q80" s="393">
        <v>525447607.44999999</v>
      </c>
      <c r="R80" s="390">
        <v>3.1217200000000001E-3</v>
      </c>
      <c r="S80" s="175">
        <v>7.375</v>
      </c>
      <c r="T80" s="175">
        <v>1.0233000000000001E-2</v>
      </c>
      <c r="U80" s="175">
        <v>3.8210000000000002</v>
      </c>
      <c r="V80" s="175">
        <v>1.1301E-2</v>
      </c>
      <c r="W80" s="175">
        <v>1478</v>
      </c>
      <c r="X80" s="175">
        <v>5.1054259999999996</v>
      </c>
      <c r="Y80" s="175">
        <v>0.46109499999999998</v>
      </c>
      <c r="Z80" s="175">
        <v>0.46109499999999998</v>
      </c>
      <c r="AA80" s="175">
        <v>1.0336E-2</v>
      </c>
      <c r="AB80" s="175">
        <v>1.1887999999999999E-2</v>
      </c>
      <c r="AC80" s="175">
        <v>1.0198E-2</v>
      </c>
      <c r="AD80" s="175">
        <v>1.0300999999999999E-2</v>
      </c>
    </row>
    <row r="81" spans="1:30">
      <c r="A81" s="170" t="s">
        <v>503</v>
      </c>
      <c r="B81" s="170" t="s">
        <v>535</v>
      </c>
      <c r="C81" s="170" t="s">
        <v>842</v>
      </c>
      <c r="D81" s="170" t="s">
        <v>841</v>
      </c>
      <c r="E81" s="170" t="s">
        <v>491</v>
      </c>
      <c r="F81" s="170" t="s">
        <v>576</v>
      </c>
      <c r="G81" s="170" t="s">
        <v>498</v>
      </c>
      <c r="H81" s="170" t="s">
        <v>551</v>
      </c>
      <c r="I81" s="170" t="s">
        <v>39</v>
      </c>
      <c r="J81" s="170" t="s">
        <v>593</v>
      </c>
      <c r="K81" s="170" t="s">
        <v>511</v>
      </c>
      <c r="L81" s="170" t="s">
        <v>113</v>
      </c>
      <c r="M81" s="175">
        <v>269000</v>
      </c>
      <c r="N81" s="175">
        <v>105.792</v>
      </c>
      <c r="O81" s="175">
        <v>1</v>
      </c>
      <c r="P81" s="175">
        <v>1</v>
      </c>
      <c r="Q81" s="393">
        <v>525447607.44999999</v>
      </c>
      <c r="R81" s="390">
        <v>5.5186999999999999E-4</v>
      </c>
      <c r="S81" s="175">
        <v>6.75</v>
      </c>
      <c r="T81" s="175">
        <v>4.0499999999999998E-4</v>
      </c>
      <c r="U81" s="175">
        <v>5.5167999999999999</v>
      </c>
      <c r="V81" s="175">
        <v>2.0969999999999999E-3</v>
      </c>
      <c r="W81" s="175">
        <v>1720</v>
      </c>
      <c r="X81" s="175">
        <v>1.050333</v>
      </c>
      <c r="Y81" s="175">
        <v>9.9352999999999997E-2</v>
      </c>
      <c r="Z81" s="175">
        <v>9.9352999999999997E-2</v>
      </c>
      <c r="AA81" s="175">
        <v>4.0499999999999998E-4</v>
      </c>
      <c r="AB81" s="175">
        <v>3.0330000000000001E-3</v>
      </c>
      <c r="AC81" s="175">
        <v>4.0400000000000001E-4</v>
      </c>
      <c r="AD81" s="175">
        <v>4.0400000000000001E-4</v>
      </c>
    </row>
    <row r="82" spans="1:30">
      <c r="A82" s="170" t="s">
        <v>503</v>
      </c>
      <c r="B82" s="170" t="s">
        <v>535</v>
      </c>
      <c r="C82" s="170" t="s">
        <v>840</v>
      </c>
      <c r="D82" s="170" t="s">
        <v>839</v>
      </c>
      <c r="E82" s="170" t="s">
        <v>491</v>
      </c>
      <c r="F82" s="170" t="s">
        <v>537</v>
      </c>
      <c r="G82" s="170" t="s">
        <v>498</v>
      </c>
      <c r="H82" s="170" t="s">
        <v>513</v>
      </c>
      <c r="I82" s="170" t="s">
        <v>39</v>
      </c>
      <c r="J82" s="170" t="s">
        <v>838</v>
      </c>
      <c r="K82" s="170" t="s">
        <v>511</v>
      </c>
      <c r="L82" s="170" t="s">
        <v>113</v>
      </c>
      <c r="M82" s="175">
        <v>1938000</v>
      </c>
      <c r="N82" s="175">
        <v>105.89700000000001</v>
      </c>
      <c r="O82" s="175">
        <v>1</v>
      </c>
      <c r="P82" s="175">
        <v>1</v>
      </c>
      <c r="Q82" s="393">
        <v>525447607.44999999</v>
      </c>
      <c r="R82" s="390">
        <v>3.5466199999999999E-3</v>
      </c>
      <c r="S82" s="175">
        <v>7.25</v>
      </c>
      <c r="T82" s="175">
        <v>2.4610000000000001E-3</v>
      </c>
      <c r="U82" s="175">
        <v>5.8715000000000002</v>
      </c>
      <c r="V82" s="175">
        <v>1.4683E-2</v>
      </c>
      <c r="W82" s="175">
        <v>1705</v>
      </c>
      <c r="X82" s="175">
        <v>6.691192</v>
      </c>
      <c r="Y82" s="175">
        <v>0.77101600000000003</v>
      </c>
      <c r="Z82" s="175">
        <v>0.77101600000000003</v>
      </c>
      <c r="AA82" s="175">
        <v>2.467E-3</v>
      </c>
      <c r="AB82" s="175">
        <v>2.0759E-2</v>
      </c>
      <c r="AC82" s="175">
        <v>2.454E-3</v>
      </c>
      <c r="AD82" s="175">
        <v>2.4599999999999999E-3</v>
      </c>
    </row>
    <row r="83" spans="1:30">
      <c r="A83" s="170" t="s">
        <v>503</v>
      </c>
      <c r="B83" s="170" t="s">
        <v>535</v>
      </c>
      <c r="C83" s="170" t="s">
        <v>837</v>
      </c>
      <c r="D83" s="170" t="s">
        <v>836</v>
      </c>
      <c r="E83" s="170" t="s">
        <v>491</v>
      </c>
      <c r="F83" s="170" t="s">
        <v>576</v>
      </c>
      <c r="G83" s="170" t="s">
        <v>498</v>
      </c>
      <c r="H83" s="170" t="s">
        <v>551</v>
      </c>
      <c r="I83" s="170" t="s">
        <v>39</v>
      </c>
      <c r="J83" s="170" t="s">
        <v>593</v>
      </c>
      <c r="K83" s="170" t="s">
        <v>511</v>
      </c>
      <c r="L83" s="170" t="s">
        <v>110</v>
      </c>
      <c r="M83" s="175">
        <v>5189000</v>
      </c>
      <c r="N83" s="175">
        <v>102.997</v>
      </c>
      <c r="O83" s="175">
        <v>1</v>
      </c>
      <c r="P83" s="175">
        <v>1</v>
      </c>
      <c r="Q83" s="393">
        <v>525447607.44999999</v>
      </c>
      <c r="R83" s="390">
        <v>1.039149E-2</v>
      </c>
      <c r="S83" s="175">
        <v>7.5</v>
      </c>
      <c r="T83" s="175">
        <v>2.8687000000000001E-2</v>
      </c>
      <c r="U83" s="175">
        <v>6.9420999999999999</v>
      </c>
      <c r="V83" s="175">
        <v>6.7752999999999994E-2</v>
      </c>
      <c r="W83" s="175">
        <v>1720</v>
      </c>
      <c r="X83" s="175">
        <v>19.777459</v>
      </c>
      <c r="Y83" s="175">
        <v>4.3685029999999996</v>
      </c>
      <c r="Z83" s="175">
        <v>4.3685029999999996</v>
      </c>
      <c r="AA83" s="175">
        <v>2.8344000000000001E-2</v>
      </c>
      <c r="AB83" s="175">
        <v>7.1900000000000006E-2</v>
      </c>
      <c r="AC83" s="175">
        <v>2.8591999999999999E-2</v>
      </c>
      <c r="AD83" s="175">
        <v>2.8250000000000001E-2</v>
      </c>
    </row>
    <row r="84" spans="1:30">
      <c r="A84" s="170" t="s">
        <v>503</v>
      </c>
      <c r="B84" s="170" t="s">
        <v>535</v>
      </c>
      <c r="C84" s="170" t="s">
        <v>835</v>
      </c>
      <c r="D84" s="170" t="s">
        <v>834</v>
      </c>
      <c r="E84" s="170" t="s">
        <v>491</v>
      </c>
      <c r="F84" s="170" t="s">
        <v>532</v>
      </c>
      <c r="G84" s="170" t="s">
        <v>531</v>
      </c>
      <c r="H84" s="170" t="s">
        <v>588</v>
      </c>
      <c r="I84" s="170" t="s">
        <v>39</v>
      </c>
      <c r="J84" s="170" t="s">
        <v>833</v>
      </c>
      <c r="K84" s="170" t="s">
        <v>495</v>
      </c>
      <c r="L84" s="170" t="s">
        <v>113</v>
      </c>
      <c r="M84" s="175">
        <v>1900000</v>
      </c>
      <c r="N84" s="175">
        <v>104.6</v>
      </c>
      <c r="O84" s="175">
        <v>1</v>
      </c>
      <c r="P84" s="175">
        <v>1</v>
      </c>
      <c r="Q84" s="393">
        <v>525447607.44999999</v>
      </c>
      <c r="R84" s="390">
        <v>3.8316000000000001E-3</v>
      </c>
      <c r="S84" s="175">
        <v>6.375</v>
      </c>
      <c r="T84" s="175">
        <v>7.1060000000000003E-3</v>
      </c>
      <c r="U84" s="175">
        <v>5.4139999999999997</v>
      </c>
      <c r="V84" s="175">
        <v>1.8238000000000001E-2</v>
      </c>
      <c r="W84" s="175">
        <v>1934</v>
      </c>
      <c r="X84" s="175">
        <v>8.1997610000000005</v>
      </c>
      <c r="Y84" s="175">
        <v>0.93204600000000004</v>
      </c>
      <c r="Z84" s="175">
        <v>0.93204600000000004</v>
      </c>
      <c r="AA84" s="175">
        <v>6.8450000000000004E-3</v>
      </c>
      <c r="AB84" s="175">
        <v>2.0660999999999999E-2</v>
      </c>
      <c r="AC84" s="175">
        <v>7.077E-3</v>
      </c>
      <c r="AD84" s="175">
        <v>6.8180000000000003E-3</v>
      </c>
    </row>
    <row r="85" spans="1:30">
      <c r="A85" s="170" t="s">
        <v>503</v>
      </c>
      <c r="B85" s="170" t="s">
        <v>535</v>
      </c>
      <c r="C85" s="170" t="s">
        <v>832</v>
      </c>
      <c r="D85" s="170" t="s">
        <v>831</v>
      </c>
      <c r="E85" s="170" t="s">
        <v>491</v>
      </c>
      <c r="F85" s="170" t="s">
        <v>576</v>
      </c>
      <c r="G85" s="170" t="s">
        <v>498</v>
      </c>
      <c r="H85" s="170" t="s">
        <v>575</v>
      </c>
      <c r="I85" s="170" t="s">
        <v>39</v>
      </c>
      <c r="J85" s="170" t="s">
        <v>830</v>
      </c>
      <c r="K85" s="170" t="s">
        <v>760</v>
      </c>
      <c r="L85" s="170" t="s">
        <v>110</v>
      </c>
      <c r="M85" s="175">
        <v>2900000</v>
      </c>
      <c r="N85" s="175">
        <v>99.588999999999999</v>
      </c>
      <c r="O85" s="175">
        <v>1</v>
      </c>
      <c r="P85" s="175">
        <v>1</v>
      </c>
      <c r="Q85" s="393">
        <v>525447607.44999999</v>
      </c>
      <c r="R85" s="390">
        <v>5.7170299999999997E-3</v>
      </c>
      <c r="S85" s="175">
        <v>9.5</v>
      </c>
      <c r="T85" s="175">
        <v>7.3610000000000004E-3</v>
      </c>
      <c r="U85" s="175">
        <v>10.238899999999999</v>
      </c>
      <c r="V85" s="175">
        <v>5.8541999999999997E-2</v>
      </c>
      <c r="W85" s="175">
        <v>580</v>
      </c>
      <c r="X85" s="175">
        <v>3.6691280000000002</v>
      </c>
      <c r="Y85" s="175">
        <v>4.4520600000000004</v>
      </c>
      <c r="Z85" s="175">
        <v>4.4520600000000004</v>
      </c>
      <c r="AA85" s="175">
        <v>7.3730000000000002E-3</v>
      </c>
      <c r="AB85" s="175">
        <v>5.8342999999999999E-2</v>
      </c>
      <c r="AC85" s="175">
        <v>7.3369999999999998E-3</v>
      </c>
      <c r="AD85" s="175">
        <v>7.3489999999999996E-3</v>
      </c>
    </row>
    <row r="86" spans="1:30">
      <c r="A86" s="170" t="s">
        <v>503</v>
      </c>
      <c r="B86" s="170" t="s">
        <v>535</v>
      </c>
      <c r="C86" s="170" t="s">
        <v>829</v>
      </c>
      <c r="D86" s="170" t="s">
        <v>828</v>
      </c>
      <c r="E86" s="170" t="s">
        <v>491</v>
      </c>
      <c r="F86" s="170" t="s">
        <v>499</v>
      </c>
      <c r="G86" s="170" t="s">
        <v>498</v>
      </c>
      <c r="H86" s="170" t="s">
        <v>567</v>
      </c>
      <c r="I86" s="170" t="s">
        <v>39</v>
      </c>
      <c r="J86" s="170" t="s">
        <v>761</v>
      </c>
      <c r="K86" s="170" t="s">
        <v>760</v>
      </c>
      <c r="L86" s="170" t="s">
        <v>114</v>
      </c>
      <c r="M86" s="175">
        <v>884000</v>
      </c>
      <c r="N86" s="175">
        <v>112.072</v>
      </c>
      <c r="O86" s="175">
        <v>1</v>
      </c>
      <c r="P86" s="175">
        <v>1</v>
      </c>
      <c r="Q86" s="393">
        <v>525447607.44999999</v>
      </c>
      <c r="R86" s="390">
        <v>1.8973499999999999E-3</v>
      </c>
      <c r="S86" s="175">
        <v>7.875</v>
      </c>
      <c r="T86" s="175">
        <v>5.0140000000000002E-3</v>
      </c>
      <c r="U86" s="175">
        <v>3.6135999999999999</v>
      </c>
      <c r="V86" s="175">
        <v>6.8490000000000001E-3</v>
      </c>
      <c r="W86" s="175">
        <v>1067</v>
      </c>
      <c r="X86" s="175">
        <v>2.2401460000000002</v>
      </c>
      <c r="Y86" s="175">
        <v>0.296873</v>
      </c>
      <c r="Z86" s="175">
        <v>0.296873</v>
      </c>
      <c r="AA86" s="175">
        <v>5.0639999999999999E-3</v>
      </c>
      <c r="AB86" s="175">
        <v>6.8380000000000003E-3</v>
      </c>
      <c r="AC86" s="175">
        <v>5.0010000000000002E-3</v>
      </c>
      <c r="AD86" s="175">
        <v>5.0509999999999999E-3</v>
      </c>
    </row>
    <row r="87" spans="1:30">
      <c r="A87" s="170" t="s">
        <v>503</v>
      </c>
      <c r="B87" s="170" t="s">
        <v>535</v>
      </c>
      <c r="C87" s="170" t="s">
        <v>827</v>
      </c>
      <c r="D87" s="170" t="s">
        <v>826</v>
      </c>
      <c r="E87" s="170" t="s">
        <v>491</v>
      </c>
      <c r="F87" s="170" t="s">
        <v>514</v>
      </c>
      <c r="G87" s="170" t="s">
        <v>498</v>
      </c>
      <c r="H87" s="170" t="s">
        <v>513</v>
      </c>
      <c r="I87" s="170" t="s">
        <v>39</v>
      </c>
      <c r="J87" s="170" t="s">
        <v>825</v>
      </c>
      <c r="K87" s="170" t="s">
        <v>760</v>
      </c>
      <c r="L87" s="170" t="s">
        <v>114</v>
      </c>
      <c r="M87" s="175">
        <v>3820000</v>
      </c>
      <c r="N87" s="175">
        <v>103.105</v>
      </c>
      <c r="O87" s="175">
        <v>1</v>
      </c>
      <c r="P87" s="175">
        <v>1</v>
      </c>
      <c r="Q87" s="393">
        <v>525447607.44999999</v>
      </c>
      <c r="R87" s="390">
        <v>7.5727499999999996E-3</v>
      </c>
      <c r="S87" s="175">
        <v>5.875</v>
      </c>
      <c r="T87" s="175">
        <v>8.4030000000000007E-3</v>
      </c>
      <c r="U87" s="175">
        <v>4.8182</v>
      </c>
      <c r="V87" s="175">
        <v>3.1806000000000001E-2</v>
      </c>
      <c r="W87" s="175">
        <v>1034</v>
      </c>
      <c r="X87" s="175">
        <v>8.6643889999999999</v>
      </c>
      <c r="Y87" s="175">
        <v>1.6171439999999999</v>
      </c>
      <c r="Z87" s="175">
        <v>1.6171439999999999</v>
      </c>
      <c r="AA87" s="175">
        <v>8.3070000000000001E-3</v>
      </c>
      <c r="AB87" s="175">
        <v>3.6366999999999997E-2</v>
      </c>
      <c r="AC87" s="175">
        <v>8.3759999999999998E-3</v>
      </c>
      <c r="AD87" s="175">
        <v>8.2799999999999992E-3</v>
      </c>
    </row>
    <row r="88" spans="1:30">
      <c r="A88" s="170" t="s">
        <v>503</v>
      </c>
      <c r="B88" s="170" t="s">
        <v>535</v>
      </c>
      <c r="C88" s="170" t="s">
        <v>824</v>
      </c>
      <c r="D88" s="170" t="s">
        <v>823</v>
      </c>
      <c r="E88" s="170" t="s">
        <v>491</v>
      </c>
      <c r="F88" s="170" t="s">
        <v>532</v>
      </c>
      <c r="G88" s="170" t="s">
        <v>531</v>
      </c>
      <c r="H88" s="170" t="s">
        <v>575</v>
      </c>
      <c r="I88" s="170" t="s">
        <v>39</v>
      </c>
      <c r="J88" s="170" t="s">
        <v>520</v>
      </c>
      <c r="K88" s="170" t="s">
        <v>511</v>
      </c>
      <c r="L88" s="170" t="s">
        <v>114</v>
      </c>
      <c r="M88" s="175">
        <v>1325000</v>
      </c>
      <c r="N88" s="175">
        <v>102.929</v>
      </c>
      <c r="O88" s="175">
        <v>1</v>
      </c>
      <c r="P88" s="175">
        <v>1</v>
      </c>
      <c r="Q88" s="393">
        <v>525447607.44999999</v>
      </c>
      <c r="R88" s="390">
        <v>2.6117699999999998E-3</v>
      </c>
      <c r="S88" s="175">
        <v>7.25</v>
      </c>
      <c r="T88" s="175">
        <v>7.9089999999999994E-3</v>
      </c>
      <c r="U88" s="175">
        <v>6.6402000000000001</v>
      </c>
      <c r="V88" s="175">
        <v>1.6428000000000002E-2</v>
      </c>
      <c r="W88" s="175">
        <v>1797</v>
      </c>
      <c r="X88" s="175">
        <v>5.1933429999999996</v>
      </c>
      <c r="Y88" s="175">
        <v>1.052942</v>
      </c>
      <c r="Z88" s="175">
        <v>1.052942</v>
      </c>
      <c r="AA88" s="175">
        <v>7.8230000000000001E-3</v>
      </c>
      <c r="AB88" s="175">
        <v>1.7273E-2</v>
      </c>
      <c r="AC88" s="175">
        <v>7.8779999999999996E-3</v>
      </c>
      <c r="AD88" s="175">
        <v>7.7920000000000003E-3</v>
      </c>
    </row>
    <row r="89" spans="1:30">
      <c r="A89" s="170" t="s">
        <v>503</v>
      </c>
      <c r="B89" s="170" t="s">
        <v>535</v>
      </c>
      <c r="C89" s="170" t="s">
        <v>822</v>
      </c>
      <c r="D89" s="170" t="s">
        <v>821</v>
      </c>
      <c r="E89" s="170" t="s">
        <v>491</v>
      </c>
      <c r="F89" s="170" t="s">
        <v>532</v>
      </c>
      <c r="G89" s="170" t="s">
        <v>531</v>
      </c>
      <c r="H89" s="170" t="s">
        <v>508</v>
      </c>
      <c r="I89" s="170" t="s">
        <v>39</v>
      </c>
      <c r="J89" s="170" t="s">
        <v>820</v>
      </c>
      <c r="K89" s="170" t="s">
        <v>511</v>
      </c>
      <c r="L89" s="170" t="s">
        <v>115</v>
      </c>
      <c r="M89" s="175">
        <v>1524000</v>
      </c>
      <c r="N89" s="175">
        <v>103.096</v>
      </c>
      <c r="O89" s="175">
        <v>1</v>
      </c>
      <c r="P89" s="175">
        <v>1</v>
      </c>
      <c r="Q89" s="393">
        <v>525447607.44999999</v>
      </c>
      <c r="R89" s="390">
        <v>3.0675400000000001E-3</v>
      </c>
      <c r="S89" s="175">
        <v>5.75</v>
      </c>
      <c r="T89" s="175">
        <v>3.8279999999999998E-3</v>
      </c>
      <c r="U89" s="175">
        <v>4.7611999999999997</v>
      </c>
      <c r="V89" s="175">
        <v>1.3252E-2</v>
      </c>
      <c r="W89" s="175">
        <v>1113</v>
      </c>
      <c r="X89" s="175">
        <v>3.7778960000000001</v>
      </c>
      <c r="Y89" s="175">
        <v>0.67563399999999996</v>
      </c>
      <c r="Z89" s="175">
        <v>0.67563399999999996</v>
      </c>
      <c r="AA89" s="175">
        <v>3.8049999999999998E-3</v>
      </c>
      <c r="AB89" s="175">
        <v>1.4562E-2</v>
      </c>
      <c r="AC89" s="175">
        <v>3.8170000000000001E-3</v>
      </c>
      <c r="AD89" s="175">
        <v>3.7940000000000001E-3</v>
      </c>
    </row>
    <row r="90" spans="1:30">
      <c r="A90" s="170" t="s">
        <v>503</v>
      </c>
      <c r="B90" s="170" t="s">
        <v>535</v>
      </c>
      <c r="C90" s="170" t="s">
        <v>819</v>
      </c>
      <c r="D90" s="170" t="s">
        <v>818</v>
      </c>
      <c r="E90" s="170" t="s">
        <v>491</v>
      </c>
      <c r="F90" s="170" t="s">
        <v>514</v>
      </c>
      <c r="G90" s="170" t="s">
        <v>498</v>
      </c>
      <c r="H90" s="170" t="s">
        <v>513</v>
      </c>
      <c r="I90" s="170" t="s">
        <v>39</v>
      </c>
      <c r="J90" s="170" t="s">
        <v>817</v>
      </c>
      <c r="K90" s="170" t="s">
        <v>511</v>
      </c>
      <c r="L90" s="170" t="s">
        <v>111</v>
      </c>
      <c r="M90" s="175">
        <v>3046000</v>
      </c>
      <c r="N90" s="175">
        <v>105.065</v>
      </c>
      <c r="O90" s="175">
        <v>1</v>
      </c>
      <c r="P90" s="175">
        <v>1</v>
      </c>
      <c r="Q90" s="393">
        <v>525447607.44999999</v>
      </c>
      <c r="R90" s="390">
        <v>6.1330899999999999E-3</v>
      </c>
      <c r="S90" s="175">
        <v>8.25</v>
      </c>
      <c r="T90" s="175">
        <v>7.1500000000000003E-4</v>
      </c>
      <c r="U90" s="175">
        <v>6.5442999999999998</v>
      </c>
      <c r="V90" s="175">
        <v>1.7173000000000001E-2</v>
      </c>
      <c r="W90" s="175">
        <v>1139</v>
      </c>
      <c r="X90" s="175">
        <v>7.7297789999999997</v>
      </c>
      <c r="Y90" s="175">
        <v>0.45734599999999997</v>
      </c>
      <c r="Z90" s="175">
        <v>0.45734599999999997</v>
      </c>
      <c r="AA90" s="175">
        <v>7.2300000000000001E-4</v>
      </c>
      <c r="AB90" s="175">
        <v>4.0011999999999999E-2</v>
      </c>
      <c r="AC90" s="175">
        <v>7.1299999999999998E-4</v>
      </c>
      <c r="AD90" s="175">
        <v>7.2000000000000005E-4</v>
      </c>
    </row>
    <row r="91" spans="1:30">
      <c r="A91" s="170" t="s">
        <v>503</v>
      </c>
      <c r="B91" s="170" t="s">
        <v>535</v>
      </c>
      <c r="C91" s="170" t="s">
        <v>816</v>
      </c>
      <c r="D91" s="170" t="s">
        <v>815</v>
      </c>
      <c r="E91" s="170" t="s">
        <v>491</v>
      </c>
      <c r="F91" s="170" t="s">
        <v>814</v>
      </c>
      <c r="G91" s="170" t="s">
        <v>813</v>
      </c>
      <c r="H91" s="170" t="s">
        <v>544</v>
      </c>
      <c r="I91" s="170" t="s">
        <v>39</v>
      </c>
      <c r="J91" s="170" t="s">
        <v>812</v>
      </c>
      <c r="K91" s="170" t="s">
        <v>586</v>
      </c>
      <c r="L91" s="170" t="s">
        <v>43</v>
      </c>
      <c r="M91" s="175">
        <v>2124000</v>
      </c>
      <c r="N91" s="175">
        <v>110.28100000000001</v>
      </c>
      <c r="O91" s="175">
        <v>1</v>
      </c>
      <c r="P91" s="175">
        <v>1</v>
      </c>
      <c r="Q91" s="393">
        <v>525447607.44999999</v>
      </c>
      <c r="R91" s="390">
        <v>4.6196099999999997E-3</v>
      </c>
      <c r="S91" s="175">
        <v>7.125</v>
      </c>
      <c r="T91" s="175">
        <v>1.3180000000000001E-2</v>
      </c>
      <c r="U91" s="175">
        <v>6.2206999999999999</v>
      </c>
      <c r="V91" s="175">
        <v>1.7231E-2</v>
      </c>
      <c r="W91" s="175">
        <v>21256</v>
      </c>
      <c r="X91" s="175">
        <v>108.655377</v>
      </c>
      <c r="Y91" s="175">
        <v>0.76719300000000001</v>
      </c>
      <c r="Z91" s="175">
        <v>0.76719300000000001</v>
      </c>
      <c r="AA91" s="175">
        <v>1.3313E-2</v>
      </c>
      <c r="AB91" s="175">
        <v>2.8663000000000001E-2</v>
      </c>
      <c r="AC91" s="175">
        <v>1.3146E-2</v>
      </c>
      <c r="AD91" s="175">
        <v>1.3278999999999999E-2</v>
      </c>
    </row>
    <row r="92" spans="1:30">
      <c r="A92" s="170" t="s">
        <v>503</v>
      </c>
      <c r="B92" s="170" t="s">
        <v>535</v>
      </c>
      <c r="C92" s="170" t="s">
        <v>811</v>
      </c>
      <c r="D92" s="170" t="s">
        <v>810</v>
      </c>
      <c r="E92" s="170" t="s">
        <v>491</v>
      </c>
      <c r="F92" s="170" t="s">
        <v>514</v>
      </c>
      <c r="G92" s="170" t="s">
        <v>498</v>
      </c>
      <c r="H92" s="170" t="s">
        <v>524</v>
      </c>
      <c r="I92" s="170" t="s">
        <v>39</v>
      </c>
      <c r="J92" s="170" t="s">
        <v>809</v>
      </c>
      <c r="K92" s="170" t="s">
        <v>511</v>
      </c>
      <c r="L92" s="170" t="s">
        <v>111</v>
      </c>
      <c r="M92" s="175">
        <v>3629000</v>
      </c>
      <c r="N92" s="175">
        <v>110.604</v>
      </c>
      <c r="O92" s="175">
        <v>1</v>
      </c>
      <c r="P92" s="175">
        <v>1</v>
      </c>
      <c r="Q92" s="393">
        <v>525447607.44999999</v>
      </c>
      <c r="R92" s="390">
        <v>7.8349800000000001E-3</v>
      </c>
      <c r="S92" s="175">
        <v>11</v>
      </c>
      <c r="T92" s="175">
        <v>5.6429999999999996E-3</v>
      </c>
      <c r="U92" s="175">
        <v>7.3998999999999997</v>
      </c>
      <c r="V92" s="175">
        <v>3.3769E-2</v>
      </c>
      <c r="W92" s="175">
        <v>1189</v>
      </c>
      <c r="X92" s="175">
        <v>10.308221</v>
      </c>
      <c r="Y92" s="175">
        <v>1.8403339999999999</v>
      </c>
      <c r="Z92" s="175">
        <v>1.8403339999999999</v>
      </c>
      <c r="AA92" s="175">
        <v>5.6979999999999999E-3</v>
      </c>
      <c r="AB92" s="175">
        <v>5.7751999999999998E-2</v>
      </c>
      <c r="AC92" s="175">
        <v>5.6210000000000001E-3</v>
      </c>
      <c r="AD92" s="175">
        <v>5.6750000000000004E-3</v>
      </c>
    </row>
    <row r="93" spans="1:30">
      <c r="A93" s="170" t="s">
        <v>503</v>
      </c>
      <c r="B93" s="170" t="s">
        <v>535</v>
      </c>
      <c r="C93" s="170" t="s">
        <v>808</v>
      </c>
      <c r="D93" s="170" t="s">
        <v>807</v>
      </c>
      <c r="E93" s="170" t="s">
        <v>491</v>
      </c>
      <c r="F93" s="170" t="s">
        <v>287</v>
      </c>
      <c r="G93" s="170" t="s">
        <v>498</v>
      </c>
      <c r="H93" s="170" t="s">
        <v>508</v>
      </c>
      <c r="I93" s="170" t="s">
        <v>39</v>
      </c>
      <c r="J93" s="170" t="s">
        <v>806</v>
      </c>
      <c r="K93" s="170" t="s">
        <v>511</v>
      </c>
      <c r="L93" s="170" t="s">
        <v>113</v>
      </c>
      <c r="M93" s="175">
        <v>5425000</v>
      </c>
      <c r="N93" s="175">
        <v>103.985</v>
      </c>
      <c r="O93" s="175">
        <v>1</v>
      </c>
      <c r="P93" s="175">
        <v>1</v>
      </c>
      <c r="Q93" s="393">
        <v>525447607.44999999</v>
      </c>
      <c r="R93" s="390">
        <v>9.7890700000000004E-3</v>
      </c>
      <c r="S93" s="175">
        <v>6.375</v>
      </c>
      <c r="T93" s="175">
        <v>4.0340000000000003E-3</v>
      </c>
      <c r="U93" s="175">
        <v>5.3268000000000004</v>
      </c>
      <c r="V93" s="175">
        <v>4.2092999999999998E-2</v>
      </c>
      <c r="W93" s="175">
        <v>1371</v>
      </c>
      <c r="X93" s="175">
        <v>14.850561000000001</v>
      </c>
      <c r="Y93" s="175">
        <v>2.1045699999999998</v>
      </c>
      <c r="Z93" s="175">
        <v>2.1045699999999998</v>
      </c>
      <c r="AA93" s="175">
        <v>4.0130000000000001E-3</v>
      </c>
      <c r="AB93" s="175">
        <v>5.2033999999999997E-2</v>
      </c>
      <c r="AC93" s="175">
        <v>4.0249999999999999E-3</v>
      </c>
      <c r="AD93" s="175">
        <v>4.0049999999999999E-3</v>
      </c>
    </row>
    <row r="94" spans="1:30">
      <c r="A94" s="170" t="s">
        <v>503</v>
      </c>
      <c r="B94" s="170" t="s">
        <v>535</v>
      </c>
      <c r="C94" s="170" t="s">
        <v>805</v>
      </c>
      <c r="D94" s="170" t="s">
        <v>804</v>
      </c>
      <c r="E94" s="170" t="s">
        <v>491</v>
      </c>
      <c r="F94" s="170" t="s">
        <v>293</v>
      </c>
      <c r="G94" s="170" t="s">
        <v>498</v>
      </c>
      <c r="H94" s="170" t="s">
        <v>551</v>
      </c>
      <c r="I94" s="170" t="s">
        <v>39</v>
      </c>
      <c r="J94" s="170" t="s">
        <v>605</v>
      </c>
      <c r="K94" s="170" t="s">
        <v>495</v>
      </c>
      <c r="L94" s="170" t="s">
        <v>112</v>
      </c>
      <c r="M94" s="175">
        <v>3559000</v>
      </c>
      <c r="N94" s="175">
        <v>106.376</v>
      </c>
      <c r="O94" s="175">
        <v>1</v>
      </c>
      <c r="P94" s="175">
        <v>1</v>
      </c>
      <c r="Q94" s="393">
        <v>525447607.44999999</v>
      </c>
      <c r="R94" s="390">
        <v>7.3192200000000004E-3</v>
      </c>
      <c r="S94" s="175">
        <v>7.875</v>
      </c>
      <c r="T94" s="175">
        <v>1.6878000000000001E-2</v>
      </c>
      <c r="U94" s="175">
        <v>6.5624000000000002</v>
      </c>
      <c r="V94" s="175">
        <v>4.2964000000000002E-2</v>
      </c>
      <c r="W94" s="175">
        <v>1981</v>
      </c>
      <c r="X94" s="175">
        <v>16.044034</v>
      </c>
      <c r="Y94" s="175">
        <v>2.5980789999999998</v>
      </c>
      <c r="Z94" s="175">
        <v>2.5980789999999998</v>
      </c>
      <c r="AA94" s="175">
        <v>1.6479000000000001E-2</v>
      </c>
      <c r="AB94" s="175">
        <v>4.7817999999999999E-2</v>
      </c>
      <c r="AC94" s="175">
        <v>1.6802999999999998E-2</v>
      </c>
      <c r="AD94" s="175">
        <v>1.6406E-2</v>
      </c>
    </row>
    <row r="95" spans="1:30">
      <c r="A95" s="170" t="s">
        <v>503</v>
      </c>
      <c r="B95" s="170" t="s">
        <v>535</v>
      </c>
      <c r="C95" s="170" t="s">
        <v>803</v>
      </c>
      <c r="D95" s="170" t="s">
        <v>802</v>
      </c>
      <c r="E95" s="170" t="s">
        <v>491</v>
      </c>
      <c r="F95" s="170" t="s">
        <v>571</v>
      </c>
      <c r="G95" s="170" t="s">
        <v>498</v>
      </c>
      <c r="H95" s="170" t="s">
        <v>567</v>
      </c>
      <c r="I95" s="170" t="s">
        <v>39</v>
      </c>
      <c r="J95" s="170" t="s">
        <v>587</v>
      </c>
      <c r="K95" s="170" t="s">
        <v>586</v>
      </c>
      <c r="L95" s="170" t="s">
        <v>41</v>
      </c>
      <c r="M95" s="175">
        <v>3800000</v>
      </c>
      <c r="N95" s="175">
        <v>105.215</v>
      </c>
      <c r="O95" s="175">
        <v>1</v>
      </c>
      <c r="P95" s="175">
        <v>1</v>
      </c>
      <c r="Q95" s="393">
        <v>525447607.44999999</v>
      </c>
      <c r="R95" s="390">
        <v>7.7686300000000003E-3</v>
      </c>
      <c r="S95" s="175">
        <v>5.7522000000000002</v>
      </c>
      <c r="T95" s="175">
        <v>4.1694000000000002E-2</v>
      </c>
      <c r="U95" s="175">
        <v>5.6383000000000001</v>
      </c>
      <c r="V95" s="175">
        <v>3.7523000000000001E-2</v>
      </c>
      <c r="W95" s="175">
        <v>19847</v>
      </c>
      <c r="X95" s="175">
        <v>170.60965100000001</v>
      </c>
      <c r="Y95" s="175">
        <v>1.86392</v>
      </c>
      <c r="Z95" s="175">
        <v>1.86392</v>
      </c>
      <c r="AA95" s="175">
        <v>4.2179000000000001E-2</v>
      </c>
      <c r="AB95" s="175">
        <v>4.3679999999999997E-2</v>
      </c>
      <c r="AC95" s="175">
        <v>4.1577999999999997E-2</v>
      </c>
      <c r="AD95" s="175">
        <v>4.2062000000000002E-2</v>
      </c>
    </row>
    <row r="96" spans="1:30">
      <c r="A96" s="170" t="s">
        <v>503</v>
      </c>
      <c r="B96" s="170" t="s">
        <v>535</v>
      </c>
      <c r="C96" s="170" t="s">
        <v>801</v>
      </c>
      <c r="D96" s="170" t="s">
        <v>800</v>
      </c>
      <c r="E96" s="170" t="s">
        <v>491</v>
      </c>
      <c r="F96" s="170" t="s">
        <v>571</v>
      </c>
      <c r="G96" s="170" t="s">
        <v>498</v>
      </c>
      <c r="H96" s="170" t="s">
        <v>513</v>
      </c>
      <c r="I96" s="170" t="s">
        <v>39</v>
      </c>
      <c r="J96" s="170" t="s">
        <v>799</v>
      </c>
      <c r="K96" s="170" t="s">
        <v>511</v>
      </c>
      <c r="L96" s="170" t="s">
        <v>112</v>
      </c>
      <c r="M96" s="175">
        <v>4897000</v>
      </c>
      <c r="N96" s="175">
        <v>104.462</v>
      </c>
      <c r="O96" s="175">
        <v>1</v>
      </c>
      <c r="P96" s="175">
        <v>1</v>
      </c>
      <c r="Q96" s="393">
        <v>525447607.44999999</v>
      </c>
      <c r="R96" s="390">
        <v>9.9660500000000006E-3</v>
      </c>
      <c r="S96" s="175">
        <v>6.5</v>
      </c>
      <c r="T96" s="175">
        <v>8.3230000000000005E-3</v>
      </c>
      <c r="U96" s="175">
        <v>5.2401999999999997</v>
      </c>
      <c r="V96" s="175">
        <v>4.6043000000000001E-2</v>
      </c>
      <c r="W96" s="175">
        <v>1294</v>
      </c>
      <c r="X96" s="175">
        <v>14.269914</v>
      </c>
      <c r="Y96" s="175">
        <v>2.3721960000000002</v>
      </c>
      <c r="Z96" s="175">
        <v>2.3721960000000002</v>
      </c>
      <c r="AA96" s="175">
        <v>8.1419999999999999E-3</v>
      </c>
      <c r="AB96" s="175">
        <v>5.2013999999999998E-2</v>
      </c>
      <c r="AC96" s="175">
        <v>8.2900000000000005E-3</v>
      </c>
      <c r="AD96" s="175">
        <v>8.1089999999999999E-3</v>
      </c>
    </row>
    <row r="97" spans="1:30">
      <c r="A97" s="170" t="s">
        <v>503</v>
      </c>
      <c r="B97" s="170" t="s">
        <v>535</v>
      </c>
      <c r="C97" s="170" t="s">
        <v>798</v>
      </c>
      <c r="D97" s="170" t="s">
        <v>797</v>
      </c>
      <c r="E97" s="170" t="s">
        <v>491</v>
      </c>
      <c r="F97" s="170" t="s">
        <v>287</v>
      </c>
      <c r="G97" s="170" t="s">
        <v>498</v>
      </c>
      <c r="H97" s="170" t="s">
        <v>508</v>
      </c>
      <c r="I97" s="170" t="s">
        <v>39</v>
      </c>
      <c r="J97" s="170" t="s">
        <v>796</v>
      </c>
      <c r="K97" s="170" t="s">
        <v>511</v>
      </c>
      <c r="L97" s="170" t="s">
        <v>111</v>
      </c>
      <c r="M97" s="175">
        <v>1490000</v>
      </c>
      <c r="N97" s="175">
        <v>104.218</v>
      </c>
      <c r="O97" s="175">
        <v>1</v>
      </c>
      <c r="P97" s="175">
        <v>1</v>
      </c>
      <c r="Q97" s="393">
        <v>525447607.44999999</v>
      </c>
      <c r="R97" s="390">
        <v>2.9717699999999999E-3</v>
      </c>
      <c r="S97" s="175">
        <v>6.75</v>
      </c>
      <c r="T97" s="175">
        <v>4.5750000000000001E-3</v>
      </c>
      <c r="U97" s="175">
        <v>5.8680000000000003</v>
      </c>
      <c r="V97" s="175">
        <v>1.5334E-2</v>
      </c>
      <c r="W97" s="175">
        <v>1617</v>
      </c>
      <c r="X97" s="175">
        <v>5.3172750000000004</v>
      </c>
      <c r="Y97" s="175">
        <v>0.85717299999999996</v>
      </c>
      <c r="Z97" s="175">
        <v>0.85717299999999996</v>
      </c>
      <c r="AA97" s="175">
        <v>4.4679999999999997E-3</v>
      </c>
      <c r="AB97" s="175">
        <v>1.7354000000000001E-2</v>
      </c>
      <c r="AC97" s="175">
        <v>4.5529999999999998E-3</v>
      </c>
      <c r="AD97" s="175">
        <v>4.4470000000000004E-3</v>
      </c>
    </row>
    <row r="98" spans="1:30">
      <c r="A98" s="170" t="s">
        <v>503</v>
      </c>
      <c r="B98" s="170" t="s">
        <v>535</v>
      </c>
      <c r="C98" s="170" t="s">
        <v>795</v>
      </c>
      <c r="D98" s="170" t="s">
        <v>794</v>
      </c>
      <c r="E98" s="170" t="s">
        <v>491</v>
      </c>
      <c r="F98" s="170" t="s">
        <v>532</v>
      </c>
      <c r="G98" s="170" t="s">
        <v>531</v>
      </c>
      <c r="H98" s="170" t="s">
        <v>575</v>
      </c>
      <c r="I98" s="170" t="s">
        <v>39</v>
      </c>
      <c r="J98" s="170" t="s">
        <v>793</v>
      </c>
      <c r="K98" s="170" t="s">
        <v>511</v>
      </c>
      <c r="L98" s="170" t="s">
        <v>114</v>
      </c>
      <c r="M98" s="175">
        <v>1269000</v>
      </c>
      <c r="N98" s="175">
        <v>102.88800000000001</v>
      </c>
      <c r="O98" s="175">
        <v>1</v>
      </c>
      <c r="P98" s="175">
        <v>1</v>
      </c>
      <c r="Q98" s="393">
        <v>525447607.44999999</v>
      </c>
      <c r="R98" s="390">
        <v>2.48577E-3</v>
      </c>
      <c r="S98" s="175">
        <v>7</v>
      </c>
      <c r="T98" s="175">
        <v>5.77E-3</v>
      </c>
      <c r="U98" s="175">
        <v>6.1990999999999996</v>
      </c>
      <c r="V98" s="175">
        <v>1.4716E-2</v>
      </c>
      <c r="W98" s="175">
        <v>1279</v>
      </c>
      <c r="X98" s="175">
        <v>3.517998</v>
      </c>
      <c r="Y98" s="175">
        <v>0.97711099999999995</v>
      </c>
      <c r="Z98" s="175">
        <v>0.97711099999999995</v>
      </c>
      <c r="AA98" s="175">
        <v>5.738E-3</v>
      </c>
      <c r="AB98" s="175">
        <v>1.5873999999999999E-2</v>
      </c>
      <c r="AC98" s="175">
        <v>5.9439999999999996E-3</v>
      </c>
      <c r="AD98" s="175">
        <v>5.9109999999999996E-3</v>
      </c>
    </row>
    <row r="99" spans="1:30">
      <c r="A99" s="170" t="s">
        <v>503</v>
      </c>
      <c r="B99" s="170" t="s">
        <v>535</v>
      </c>
      <c r="C99" s="170" t="s">
        <v>792</v>
      </c>
      <c r="D99" s="170" t="s">
        <v>791</v>
      </c>
      <c r="E99" s="170" t="s">
        <v>491</v>
      </c>
      <c r="F99" s="170" t="s">
        <v>499</v>
      </c>
      <c r="G99" s="170" t="s">
        <v>498</v>
      </c>
      <c r="H99" s="170" t="s">
        <v>544</v>
      </c>
      <c r="I99" s="170" t="s">
        <v>39</v>
      </c>
      <c r="J99" s="170" t="s">
        <v>587</v>
      </c>
      <c r="K99" s="170" t="s">
        <v>586</v>
      </c>
      <c r="L99" s="170" t="s">
        <v>63</v>
      </c>
      <c r="M99" s="175">
        <v>1582000</v>
      </c>
      <c r="N99" s="175">
        <v>103.179</v>
      </c>
      <c r="O99" s="175">
        <v>1</v>
      </c>
      <c r="P99" s="175">
        <v>1</v>
      </c>
      <c r="Q99" s="393">
        <v>525447607.44999999</v>
      </c>
      <c r="R99" s="390">
        <v>3.1448800000000001E-3</v>
      </c>
      <c r="S99" s="175">
        <v>4.75</v>
      </c>
      <c r="T99" s="175">
        <v>1.0179000000000001E-2</v>
      </c>
      <c r="U99" s="175">
        <v>4.7180999999999997</v>
      </c>
      <c r="V99" s="175">
        <v>1.2108000000000001E-2</v>
      </c>
      <c r="W99" s="175">
        <v>19847</v>
      </c>
      <c r="X99" s="175">
        <v>69.065709999999996</v>
      </c>
      <c r="Y99" s="175">
        <v>0.546126</v>
      </c>
      <c r="Z99" s="175">
        <v>0.546126</v>
      </c>
      <c r="AA99" s="175">
        <v>1.0284E-2</v>
      </c>
      <c r="AB99" s="175">
        <v>1.4793000000000001E-2</v>
      </c>
      <c r="AC99" s="175">
        <v>1.0149E-2</v>
      </c>
      <c r="AD99" s="175">
        <v>1.0253E-2</v>
      </c>
    </row>
    <row r="100" spans="1:30">
      <c r="A100" s="170" t="s">
        <v>503</v>
      </c>
      <c r="B100" s="170" t="s">
        <v>535</v>
      </c>
      <c r="C100" s="170" t="s">
        <v>790</v>
      </c>
      <c r="D100" s="170" t="s">
        <v>789</v>
      </c>
      <c r="E100" s="170" t="s">
        <v>491</v>
      </c>
      <c r="F100" s="170" t="s">
        <v>685</v>
      </c>
      <c r="G100" s="170" t="s">
        <v>498</v>
      </c>
      <c r="H100" s="170" t="s">
        <v>544</v>
      </c>
      <c r="I100" s="170" t="s">
        <v>39</v>
      </c>
      <c r="J100" s="170" t="s">
        <v>587</v>
      </c>
      <c r="K100" s="170" t="s">
        <v>586</v>
      </c>
      <c r="L100" s="170" t="s">
        <v>117</v>
      </c>
      <c r="M100" s="175">
        <v>2010000</v>
      </c>
      <c r="N100" s="175">
        <v>102.733</v>
      </c>
      <c r="O100" s="175">
        <v>1</v>
      </c>
      <c r="P100" s="175">
        <v>1</v>
      </c>
      <c r="Q100" s="393">
        <v>525447607.44999999</v>
      </c>
      <c r="R100" s="390">
        <v>4.0141600000000001E-3</v>
      </c>
      <c r="S100" s="175">
        <v>4.875</v>
      </c>
      <c r="T100" s="175">
        <v>2.1734E-2</v>
      </c>
      <c r="U100" s="175">
        <v>4.8125</v>
      </c>
      <c r="V100" s="175">
        <v>1.7783E-2</v>
      </c>
      <c r="W100" s="175">
        <v>19847</v>
      </c>
      <c r="X100" s="175">
        <v>88.156277000000003</v>
      </c>
      <c r="Y100" s="175">
        <v>0.81000099999999997</v>
      </c>
      <c r="Z100" s="175">
        <v>0.81000099999999997</v>
      </c>
      <c r="AA100" s="175">
        <v>2.1987E-2</v>
      </c>
      <c r="AB100" s="175">
        <v>1.9251000000000001E-2</v>
      </c>
      <c r="AC100" s="175">
        <v>2.1659000000000001E-2</v>
      </c>
      <c r="AD100" s="175">
        <v>2.1911E-2</v>
      </c>
    </row>
    <row r="101" spans="1:30">
      <c r="A101" s="170" t="s">
        <v>503</v>
      </c>
      <c r="B101" s="170" t="s">
        <v>535</v>
      </c>
      <c r="C101" s="170" t="s">
        <v>788</v>
      </c>
      <c r="D101" s="170" t="s">
        <v>787</v>
      </c>
      <c r="E101" s="170" t="s">
        <v>491</v>
      </c>
      <c r="F101" s="170" t="s">
        <v>576</v>
      </c>
      <c r="G101" s="170" t="s">
        <v>498</v>
      </c>
      <c r="H101" s="170" t="s">
        <v>508</v>
      </c>
      <c r="I101" s="170" t="s">
        <v>39</v>
      </c>
      <c r="J101" s="170" t="s">
        <v>611</v>
      </c>
      <c r="K101" s="170" t="s">
        <v>511</v>
      </c>
      <c r="L101" s="170" t="s">
        <v>112</v>
      </c>
      <c r="M101" s="175">
        <v>3212000</v>
      </c>
      <c r="N101" s="175">
        <v>104.063</v>
      </c>
      <c r="O101" s="175">
        <v>1</v>
      </c>
      <c r="P101" s="175">
        <v>1</v>
      </c>
      <c r="Q101" s="393">
        <v>525447607.44999999</v>
      </c>
      <c r="R101" s="390">
        <v>6.5095500000000002E-3</v>
      </c>
      <c r="S101" s="175">
        <v>6.375</v>
      </c>
      <c r="T101" s="175">
        <v>1.2343E-2</v>
      </c>
      <c r="U101" s="175">
        <v>5.5568</v>
      </c>
      <c r="V101" s="175">
        <v>3.2287000000000003E-2</v>
      </c>
      <c r="W101" s="175">
        <v>1690</v>
      </c>
      <c r="X101" s="175">
        <v>12.173117</v>
      </c>
      <c r="Y101" s="175">
        <v>1.740467</v>
      </c>
      <c r="Z101" s="175">
        <v>1.740467</v>
      </c>
      <c r="AA101" s="175">
        <v>1.2145E-2</v>
      </c>
      <c r="AB101" s="175">
        <v>3.6018000000000001E-2</v>
      </c>
      <c r="AC101" s="175">
        <v>1.2291E-2</v>
      </c>
      <c r="AD101" s="175">
        <v>1.2093E-2</v>
      </c>
    </row>
    <row r="102" spans="1:30">
      <c r="A102" s="170" t="s">
        <v>503</v>
      </c>
      <c r="B102" s="170" t="s">
        <v>535</v>
      </c>
      <c r="C102" s="170" t="s">
        <v>786</v>
      </c>
      <c r="D102" s="170" t="s">
        <v>785</v>
      </c>
      <c r="E102" s="170" t="s">
        <v>491</v>
      </c>
      <c r="F102" s="170" t="s">
        <v>514</v>
      </c>
      <c r="G102" s="170" t="s">
        <v>498</v>
      </c>
      <c r="H102" s="170" t="s">
        <v>567</v>
      </c>
      <c r="I102" s="170" t="s">
        <v>39</v>
      </c>
      <c r="J102" s="170" t="s">
        <v>784</v>
      </c>
      <c r="K102" s="170" t="s">
        <v>586</v>
      </c>
      <c r="L102" s="170" t="s">
        <v>43</v>
      </c>
      <c r="M102" s="175">
        <v>1800000</v>
      </c>
      <c r="N102" s="175">
        <v>104.553</v>
      </c>
      <c r="O102" s="175">
        <v>1</v>
      </c>
      <c r="P102" s="175">
        <v>1</v>
      </c>
      <c r="Q102" s="393">
        <v>525447607.44999999</v>
      </c>
      <c r="R102" s="390">
        <v>3.7422699999999998E-3</v>
      </c>
      <c r="S102" s="175">
        <v>5.125</v>
      </c>
      <c r="T102" s="175">
        <v>1.2728E-2</v>
      </c>
      <c r="U102" s="175">
        <v>4.8536000000000001</v>
      </c>
      <c r="V102" s="175">
        <v>1.4707E-2</v>
      </c>
      <c r="W102" s="175">
        <v>10627</v>
      </c>
      <c r="X102" s="175">
        <v>44.005842999999999</v>
      </c>
      <c r="Y102" s="175">
        <v>0.66756499999999996</v>
      </c>
      <c r="Z102" s="175">
        <v>0.66756499999999996</v>
      </c>
      <c r="AA102" s="175">
        <v>1.286E-2</v>
      </c>
      <c r="AB102" s="175">
        <v>1.8096000000000001E-2</v>
      </c>
      <c r="AC102" s="175">
        <v>1.268E-2</v>
      </c>
      <c r="AD102" s="175">
        <v>1.2812E-2</v>
      </c>
    </row>
    <row r="103" spans="1:30">
      <c r="A103" s="170" t="s">
        <v>503</v>
      </c>
      <c r="B103" s="170" t="s">
        <v>535</v>
      </c>
      <c r="C103" s="170" t="s">
        <v>783</v>
      </c>
      <c r="D103" s="170" t="s">
        <v>782</v>
      </c>
      <c r="E103" s="170" t="s">
        <v>491</v>
      </c>
      <c r="F103" s="170" t="s">
        <v>514</v>
      </c>
      <c r="G103" s="170" t="s">
        <v>498</v>
      </c>
      <c r="H103" s="170" t="s">
        <v>567</v>
      </c>
      <c r="I103" s="170" t="s">
        <v>39</v>
      </c>
      <c r="J103" s="170" t="s">
        <v>781</v>
      </c>
      <c r="K103" s="170" t="s">
        <v>495</v>
      </c>
      <c r="L103" s="170" t="s">
        <v>111</v>
      </c>
      <c r="M103" s="175">
        <v>1850000</v>
      </c>
      <c r="N103" s="175">
        <v>102.714</v>
      </c>
      <c r="O103" s="175">
        <v>1</v>
      </c>
      <c r="P103" s="175">
        <v>1</v>
      </c>
      <c r="Q103" s="393">
        <v>525447607.44999999</v>
      </c>
      <c r="R103" s="390">
        <v>3.6921200000000001E-3</v>
      </c>
      <c r="S103" s="175">
        <v>5.625</v>
      </c>
      <c r="T103" s="175">
        <v>1.4082000000000001E-2</v>
      </c>
      <c r="U103" s="175">
        <v>5.1821000000000002</v>
      </c>
      <c r="V103" s="175">
        <v>1.8017999999999999E-2</v>
      </c>
      <c r="W103" s="175">
        <v>2421</v>
      </c>
      <c r="X103" s="175">
        <v>9.8908670000000001</v>
      </c>
      <c r="Y103" s="175">
        <v>0.89756499999999995</v>
      </c>
      <c r="Z103" s="175">
        <v>0.89756499999999995</v>
      </c>
      <c r="AA103" s="175">
        <v>1.3690000000000001E-2</v>
      </c>
      <c r="AB103" s="175">
        <v>1.9085999999999999E-2</v>
      </c>
      <c r="AC103" s="175">
        <v>1.4048E-2</v>
      </c>
      <c r="AD103" s="175">
        <v>1.3656E-2</v>
      </c>
    </row>
    <row r="104" spans="1:30">
      <c r="A104" s="170" t="s">
        <v>503</v>
      </c>
      <c r="B104" s="170" t="s">
        <v>535</v>
      </c>
      <c r="C104" s="170" t="s">
        <v>780</v>
      </c>
      <c r="D104" s="170" t="s">
        <v>779</v>
      </c>
      <c r="E104" s="170" t="s">
        <v>491</v>
      </c>
      <c r="F104" s="170" t="s">
        <v>287</v>
      </c>
      <c r="G104" s="170" t="s">
        <v>498</v>
      </c>
      <c r="H104" s="170" t="s">
        <v>567</v>
      </c>
      <c r="I104" s="170" t="s">
        <v>39</v>
      </c>
      <c r="J104" s="170" t="s">
        <v>778</v>
      </c>
      <c r="K104" s="170" t="s">
        <v>511</v>
      </c>
      <c r="L104" s="170" t="s">
        <v>113</v>
      </c>
      <c r="M104" s="175">
        <v>3520000</v>
      </c>
      <c r="N104" s="175">
        <v>108.188</v>
      </c>
      <c r="O104" s="175">
        <v>1</v>
      </c>
      <c r="P104" s="175">
        <v>1</v>
      </c>
      <c r="Q104" s="393">
        <v>525447607.44999999</v>
      </c>
      <c r="R104" s="390">
        <v>7.5016700000000002E-3</v>
      </c>
      <c r="S104" s="175">
        <v>9.75</v>
      </c>
      <c r="T104" s="175">
        <v>4.4609999999999997E-3</v>
      </c>
      <c r="U104" s="175">
        <v>7.3326000000000002</v>
      </c>
      <c r="V104" s="175">
        <v>3.3382000000000002E-2</v>
      </c>
      <c r="W104" s="175">
        <v>1323</v>
      </c>
      <c r="X104" s="175">
        <v>10.982016</v>
      </c>
      <c r="Y104" s="175">
        <v>1.8236049999999999</v>
      </c>
      <c r="Z104" s="175">
        <v>1.8236049999999999</v>
      </c>
      <c r="AA104" s="175">
        <v>4.5040000000000002E-3</v>
      </c>
      <c r="AB104" s="175">
        <v>5.4882E-2</v>
      </c>
      <c r="AC104" s="175">
        <v>4.4510000000000001E-3</v>
      </c>
      <c r="AD104" s="175">
        <v>4.4939999999999997E-3</v>
      </c>
    </row>
    <row r="105" spans="1:30">
      <c r="A105" s="170" t="s">
        <v>503</v>
      </c>
      <c r="B105" s="170" t="s">
        <v>535</v>
      </c>
      <c r="C105" s="170" t="s">
        <v>777</v>
      </c>
      <c r="D105" s="170" t="s">
        <v>776</v>
      </c>
      <c r="E105" s="170" t="s">
        <v>491</v>
      </c>
      <c r="F105" s="170" t="s">
        <v>499</v>
      </c>
      <c r="G105" s="170" t="s">
        <v>498</v>
      </c>
      <c r="H105" s="170" t="s">
        <v>551</v>
      </c>
      <c r="I105" s="170" t="s">
        <v>39</v>
      </c>
      <c r="J105" s="170" t="s">
        <v>775</v>
      </c>
      <c r="K105" s="170" t="s">
        <v>511</v>
      </c>
      <c r="L105" s="170" t="s">
        <v>111</v>
      </c>
      <c r="M105" s="175">
        <v>1811000</v>
      </c>
      <c r="N105" s="175">
        <v>105.015</v>
      </c>
      <c r="O105" s="175">
        <v>1</v>
      </c>
      <c r="P105" s="175">
        <v>1</v>
      </c>
      <c r="Q105" s="393">
        <v>525447607.44999999</v>
      </c>
      <c r="R105" s="390">
        <v>3.7133700000000001E-3</v>
      </c>
      <c r="S105" s="175">
        <v>7.125</v>
      </c>
      <c r="T105" s="175">
        <v>5.1590000000000004E-3</v>
      </c>
      <c r="U105" s="175">
        <v>6.0891000000000002</v>
      </c>
      <c r="V105" s="175">
        <v>1.9717999999999999E-2</v>
      </c>
      <c r="W105" s="175">
        <v>1683</v>
      </c>
      <c r="X105" s="175">
        <v>6.9153760000000002</v>
      </c>
      <c r="Y105" s="175">
        <v>1.1042940000000001</v>
      </c>
      <c r="Z105" s="175">
        <v>1.1042940000000001</v>
      </c>
      <c r="AA105" s="175">
        <v>5.0520000000000001E-3</v>
      </c>
      <c r="AB105" s="175">
        <v>2.2494E-2</v>
      </c>
      <c r="AC105" s="175">
        <v>5.1330000000000004E-3</v>
      </c>
      <c r="AD105" s="175">
        <v>5.025E-3</v>
      </c>
    </row>
    <row r="106" spans="1:30">
      <c r="A106" s="170" t="s">
        <v>503</v>
      </c>
      <c r="B106" s="170" t="s">
        <v>535</v>
      </c>
      <c r="C106" s="170" t="s">
        <v>774</v>
      </c>
      <c r="D106" s="170" t="s">
        <v>773</v>
      </c>
      <c r="E106" s="170" t="s">
        <v>491</v>
      </c>
      <c r="F106" s="170" t="s">
        <v>576</v>
      </c>
      <c r="G106" s="170" t="s">
        <v>498</v>
      </c>
      <c r="H106" s="170" t="s">
        <v>622</v>
      </c>
      <c r="I106" s="170" t="s">
        <v>39</v>
      </c>
      <c r="J106" s="170" t="s">
        <v>587</v>
      </c>
      <c r="K106" s="170" t="s">
        <v>586</v>
      </c>
      <c r="L106" s="170" t="s">
        <v>43</v>
      </c>
      <c r="M106" s="175">
        <v>4800000</v>
      </c>
      <c r="N106" s="175">
        <v>93.941000000000003</v>
      </c>
      <c r="O106" s="175">
        <v>1</v>
      </c>
      <c r="P106" s="175">
        <v>1</v>
      </c>
      <c r="Q106" s="393">
        <v>525447607.44999999</v>
      </c>
      <c r="R106" s="390">
        <v>8.6416400000000008E-3</v>
      </c>
      <c r="S106" s="175">
        <v>5</v>
      </c>
      <c r="T106" s="175">
        <v>2.8889999999999999E-2</v>
      </c>
      <c r="U106" s="175">
        <v>5.4347000000000003</v>
      </c>
      <c r="V106" s="175">
        <v>6.1095999999999998E-2</v>
      </c>
      <c r="W106" s="175">
        <v>19847</v>
      </c>
      <c r="X106" s="175">
        <v>189.78205500000001</v>
      </c>
      <c r="Y106" s="175">
        <v>4.1182920000000003</v>
      </c>
      <c r="Z106" s="175">
        <v>4.1182920000000003</v>
      </c>
      <c r="AA106" s="175">
        <v>2.9189E-2</v>
      </c>
      <c r="AB106" s="175">
        <v>4.6762999999999999E-2</v>
      </c>
      <c r="AC106" s="175">
        <v>2.8767000000000001E-2</v>
      </c>
      <c r="AD106" s="175">
        <v>2.9064E-2</v>
      </c>
    </row>
    <row r="107" spans="1:30">
      <c r="A107" s="170" t="s">
        <v>503</v>
      </c>
      <c r="B107" s="170" t="s">
        <v>535</v>
      </c>
      <c r="C107" s="170" t="s">
        <v>772</v>
      </c>
      <c r="D107" s="170" t="s">
        <v>771</v>
      </c>
      <c r="E107" s="170" t="s">
        <v>491</v>
      </c>
      <c r="F107" s="170" t="s">
        <v>297</v>
      </c>
      <c r="G107" s="170" t="s">
        <v>531</v>
      </c>
      <c r="H107" s="170" t="s">
        <v>622</v>
      </c>
      <c r="I107" s="170" t="s">
        <v>39</v>
      </c>
      <c r="J107" s="170" t="s">
        <v>770</v>
      </c>
      <c r="K107" s="170" t="s">
        <v>511</v>
      </c>
      <c r="L107" s="170" t="s">
        <v>112</v>
      </c>
      <c r="M107" s="175">
        <v>1498000</v>
      </c>
      <c r="N107" s="175">
        <v>110.22</v>
      </c>
      <c r="O107" s="175">
        <v>1</v>
      </c>
      <c r="P107" s="175">
        <v>1</v>
      </c>
      <c r="Q107" s="393">
        <v>525447607.44999999</v>
      </c>
      <c r="R107" s="390">
        <v>3.1688699999999998E-3</v>
      </c>
      <c r="S107" s="175">
        <v>10.5</v>
      </c>
      <c r="T107" s="175">
        <v>2.1849999999999999E-3</v>
      </c>
      <c r="U107" s="175">
        <v>7.4485000000000001</v>
      </c>
      <c r="V107" s="175">
        <v>-9.5700000000000004E-3</v>
      </c>
      <c r="W107" s="175">
        <v>1355</v>
      </c>
      <c r="X107" s="175">
        <v>4.7512540000000003</v>
      </c>
      <c r="Y107" s="175"/>
      <c r="Z107" s="175"/>
      <c r="AA107" s="175">
        <v>2.2060000000000001E-3</v>
      </c>
      <c r="AB107" s="175">
        <v>2.3497000000000001E-2</v>
      </c>
      <c r="AC107" s="175">
        <v>2.1749999999999999E-3</v>
      </c>
      <c r="AD107" s="175">
        <v>2.196E-3</v>
      </c>
    </row>
    <row r="108" spans="1:30">
      <c r="A108" s="170" t="s">
        <v>503</v>
      </c>
      <c r="B108" s="170" t="s">
        <v>535</v>
      </c>
      <c r="C108" s="170" t="s">
        <v>769</v>
      </c>
      <c r="D108" s="170" t="s">
        <v>768</v>
      </c>
      <c r="E108" s="170" t="s">
        <v>491</v>
      </c>
      <c r="F108" s="170" t="s">
        <v>499</v>
      </c>
      <c r="G108" s="170" t="s">
        <v>498</v>
      </c>
      <c r="H108" s="170" t="s">
        <v>567</v>
      </c>
      <c r="I108" s="170" t="s">
        <v>39</v>
      </c>
      <c r="J108" s="170" t="s">
        <v>767</v>
      </c>
      <c r="K108" s="170" t="s">
        <v>528</v>
      </c>
      <c r="L108" s="170" t="s">
        <v>115</v>
      </c>
      <c r="M108" s="175">
        <v>1900000</v>
      </c>
      <c r="N108" s="175">
        <v>117.751</v>
      </c>
      <c r="O108" s="175">
        <v>1</v>
      </c>
      <c r="P108" s="175">
        <v>1</v>
      </c>
      <c r="Q108" s="393">
        <v>525447607.44999999</v>
      </c>
      <c r="R108" s="390">
        <v>4.42751E-3</v>
      </c>
      <c r="S108" s="175">
        <v>7.75</v>
      </c>
      <c r="T108" s="175">
        <v>2.5385999999999999E-2</v>
      </c>
      <c r="U108" s="175">
        <v>4.9017999999999997</v>
      </c>
      <c r="V108" s="175">
        <v>2.1694999999999999E-2</v>
      </c>
      <c r="W108" s="175">
        <v>2705</v>
      </c>
      <c r="X108" s="175">
        <v>13.252295999999999</v>
      </c>
      <c r="Y108" s="175">
        <v>1.0503130000000001</v>
      </c>
      <c r="Z108" s="175">
        <v>1.0503130000000001</v>
      </c>
      <c r="AA108" s="175">
        <v>2.5692E-2</v>
      </c>
      <c r="AB108" s="175">
        <v>2.1621999999999999E-2</v>
      </c>
      <c r="AC108" s="175">
        <v>2.5291000000000001E-2</v>
      </c>
      <c r="AD108" s="175">
        <v>2.5596000000000001E-2</v>
      </c>
    </row>
    <row r="109" spans="1:30">
      <c r="A109" s="170" t="s">
        <v>503</v>
      </c>
      <c r="B109" s="170" t="s">
        <v>535</v>
      </c>
      <c r="C109" s="170" t="s">
        <v>766</v>
      </c>
      <c r="D109" s="170" t="s">
        <v>765</v>
      </c>
      <c r="E109" s="170" t="s">
        <v>491</v>
      </c>
      <c r="F109" s="170" t="s">
        <v>499</v>
      </c>
      <c r="G109" s="170" t="s">
        <v>498</v>
      </c>
      <c r="H109" s="170" t="s">
        <v>567</v>
      </c>
      <c r="I109" s="170" t="s">
        <v>39</v>
      </c>
      <c r="J109" s="170" t="s">
        <v>764</v>
      </c>
      <c r="K109" s="170" t="s">
        <v>760</v>
      </c>
      <c r="L109" s="170" t="s">
        <v>115</v>
      </c>
      <c r="M109" s="175">
        <v>661000</v>
      </c>
      <c r="N109" s="175">
        <v>107.398</v>
      </c>
      <c r="O109" s="175">
        <v>1</v>
      </c>
      <c r="P109" s="175">
        <v>1</v>
      </c>
      <c r="Q109" s="393">
        <v>525447607.44999999</v>
      </c>
      <c r="R109" s="390">
        <v>1.35527E-3</v>
      </c>
      <c r="S109" s="175">
        <v>6.875</v>
      </c>
      <c r="T109" s="175">
        <v>2.8119999999999998E-3</v>
      </c>
      <c r="U109" s="175">
        <v>3.8578999999999999</v>
      </c>
      <c r="V109" s="175">
        <v>4.7840000000000001E-3</v>
      </c>
      <c r="W109" s="175">
        <v>900</v>
      </c>
      <c r="X109" s="175">
        <v>1.349685</v>
      </c>
      <c r="Y109" s="175">
        <v>0.21168400000000001</v>
      </c>
      <c r="Z109" s="175">
        <v>0.21168400000000001</v>
      </c>
      <c r="AA109" s="175">
        <v>2.8389999999999999E-3</v>
      </c>
      <c r="AB109" s="175">
        <v>5.2139999999999999E-3</v>
      </c>
      <c r="AC109" s="175">
        <v>2.8040000000000001E-3</v>
      </c>
      <c r="AD109" s="175">
        <v>2.8310000000000002E-3</v>
      </c>
    </row>
    <row r="110" spans="1:30">
      <c r="A110" s="170" t="s">
        <v>503</v>
      </c>
      <c r="B110" s="170" t="s">
        <v>535</v>
      </c>
      <c r="C110" s="170" t="s">
        <v>763</v>
      </c>
      <c r="D110" s="170" t="s">
        <v>762</v>
      </c>
      <c r="E110" s="170" t="s">
        <v>491</v>
      </c>
      <c r="F110" s="170" t="s">
        <v>499</v>
      </c>
      <c r="G110" s="170" t="s">
        <v>498</v>
      </c>
      <c r="H110" s="170" t="s">
        <v>567</v>
      </c>
      <c r="I110" s="170" t="s">
        <v>39</v>
      </c>
      <c r="J110" s="170" t="s">
        <v>761</v>
      </c>
      <c r="K110" s="170" t="s">
        <v>760</v>
      </c>
      <c r="L110" s="170" t="s">
        <v>115</v>
      </c>
      <c r="M110" s="175">
        <v>1276000</v>
      </c>
      <c r="N110" s="175">
        <v>111.254</v>
      </c>
      <c r="O110" s="175">
        <v>1</v>
      </c>
      <c r="P110" s="175">
        <v>1</v>
      </c>
      <c r="Q110" s="393">
        <v>525447607.44999999</v>
      </c>
      <c r="R110" s="390">
        <v>2.7188500000000001E-3</v>
      </c>
      <c r="S110" s="175">
        <v>7.875</v>
      </c>
      <c r="T110" s="175">
        <v>7.1830000000000001E-3</v>
      </c>
      <c r="U110" s="175">
        <v>3.9177</v>
      </c>
      <c r="V110" s="175">
        <v>1.0658000000000001E-2</v>
      </c>
      <c r="W110" s="175">
        <v>1067</v>
      </c>
      <c r="X110" s="175">
        <v>3.2100610000000001</v>
      </c>
      <c r="Y110" s="175">
        <v>0.50269900000000001</v>
      </c>
      <c r="Z110" s="175">
        <v>0.50269900000000001</v>
      </c>
      <c r="AA110" s="175">
        <v>7.2550000000000002E-3</v>
      </c>
      <c r="AB110" s="175">
        <v>1.0619E-2</v>
      </c>
      <c r="AC110" s="175">
        <v>7.1609999999999998E-3</v>
      </c>
      <c r="AD110" s="175">
        <v>7.2329999999999998E-3</v>
      </c>
    </row>
    <row r="111" spans="1:30">
      <c r="A111" s="170" t="s">
        <v>503</v>
      </c>
      <c r="B111" s="170" t="s">
        <v>535</v>
      </c>
      <c r="C111" s="170" t="s">
        <v>759</v>
      </c>
      <c r="D111" s="170" t="s">
        <v>758</v>
      </c>
      <c r="E111" s="170" t="s">
        <v>491</v>
      </c>
      <c r="F111" s="170" t="s">
        <v>514</v>
      </c>
      <c r="G111" s="170" t="s">
        <v>498</v>
      </c>
      <c r="H111" s="170" t="s">
        <v>612</v>
      </c>
      <c r="I111" s="170" t="s">
        <v>39</v>
      </c>
      <c r="J111" s="170" t="s">
        <v>757</v>
      </c>
      <c r="K111" s="170" t="s">
        <v>511</v>
      </c>
      <c r="L111" s="170" t="s">
        <v>111</v>
      </c>
      <c r="M111" s="175">
        <v>2435000</v>
      </c>
      <c r="N111" s="175">
        <v>94.492999999999995</v>
      </c>
      <c r="O111" s="175">
        <v>1</v>
      </c>
      <c r="P111" s="175">
        <v>1</v>
      </c>
      <c r="Q111" s="393">
        <v>525447607.44999999</v>
      </c>
      <c r="R111" s="390">
        <v>4.4928600000000004E-3</v>
      </c>
      <c r="S111" s="175">
        <v>7.375</v>
      </c>
      <c r="T111" s="175">
        <v>1.4156999999999999E-2</v>
      </c>
      <c r="U111" s="175">
        <v>9.36</v>
      </c>
      <c r="V111" s="175">
        <v>4.2053E-2</v>
      </c>
      <c r="W111" s="175">
        <v>1342</v>
      </c>
      <c r="X111" s="175">
        <v>6.6717519999999997</v>
      </c>
      <c r="Y111" s="175">
        <v>3.1663519999999998</v>
      </c>
      <c r="Z111" s="175">
        <v>3.1663519999999998</v>
      </c>
      <c r="AA111" s="175">
        <v>1.4293999999999999E-2</v>
      </c>
      <c r="AB111" s="175">
        <v>4.1805000000000002E-2</v>
      </c>
      <c r="AC111" s="175">
        <v>1.4074E-2</v>
      </c>
      <c r="AD111" s="175">
        <v>1.4208999999999999E-2</v>
      </c>
    </row>
    <row r="112" spans="1:30">
      <c r="A112" s="170" t="s">
        <v>503</v>
      </c>
      <c r="B112" s="170" t="s">
        <v>535</v>
      </c>
      <c r="C112" s="170" t="s">
        <v>756</v>
      </c>
      <c r="D112" s="170" t="s">
        <v>755</v>
      </c>
      <c r="E112" s="170" t="s">
        <v>491</v>
      </c>
      <c r="F112" s="170" t="s">
        <v>685</v>
      </c>
      <c r="G112" s="170" t="s">
        <v>498</v>
      </c>
      <c r="H112" s="170" t="s">
        <v>508</v>
      </c>
      <c r="I112" s="170" t="s">
        <v>39</v>
      </c>
      <c r="J112" s="170" t="s">
        <v>593</v>
      </c>
      <c r="K112" s="170" t="s">
        <v>511</v>
      </c>
      <c r="L112" s="170" t="s">
        <v>112</v>
      </c>
      <c r="M112" s="175">
        <v>2282000</v>
      </c>
      <c r="N112" s="175">
        <v>104.029</v>
      </c>
      <c r="O112" s="175">
        <v>1</v>
      </c>
      <c r="P112" s="175">
        <v>1</v>
      </c>
      <c r="Q112" s="393">
        <v>525447607.44999999</v>
      </c>
      <c r="R112" s="390">
        <v>4.5921599999999996E-3</v>
      </c>
      <c r="S112" s="175">
        <v>5.75</v>
      </c>
      <c r="T112" s="175">
        <v>7.8309999999999994E-3</v>
      </c>
      <c r="U112" s="175">
        <v>4.9283999999999999</v>
      </c>
      <c r="V112" s="175">
        <v>1.9976000000000001E-2</v>
      </c>
      <c r="W112" s="175">
        <v>1720</v>
      </c>
      <c r="X112" s="175">
        <v>8.7399699999999996</v>
      </c>
      <c r="Y112" s="175">
        <v>0.92767999999999995</v>
      </c>
      <c r="Z112" s="175">
        <v>0.92767999999999995</v>
      </c>
      <c r="AA112" s="175">
        <v>7.5449999999999996E-3</v>
      </c>
      <c r="AB112" s="175">
        <v>2.2554000000000001E-2</v>
      </c>
      <c r="AC112" s="175">
        <v>7.8040000000000002E-3</v>
      </c>
      <c r="AD112" s="175">
        <v>7.5180000000000004E-3</v>
      </c>
    </row>
    <row r="113" spans="1:30">
      <c r="A113" s="170" t="s">
        <v>503</v>
      </c>
      <c r="B113" s="170" t="s">
        <v>535</v>
      </c>
      <c r="C113" s="170" t="s">
        <v>754</v>
      </c>
      <c r="D113" s="170" t="s">
        <v>753</v>
      </c>
      <c r="E113" s="170" t="s">
        <v>491</v>
      </c>
      <c r="F113" s="170" t="s">
        <v>287</v>
      </c>
      <c r="G113" s="170" t="s">
        <v>498</v>
      </c>
      <c r="H113" s="170" t="s">
        <v>567</v>
      </c>
      <c r="I113" s="170" t="s">
        <v>39</v>
      </c>
      <c r="J113" s="170" t="s">
        <v>625</v>
      </c>
      <c r="K113" s="170" t="s">
        <v>495</v>
      </c>
      <c r="L113" s="170" t="s">
        <v>113</v>
      </c>
      <c r="M113" s="175">
        <v>4119000</v>
      </c>
      <c r="N113" s="175">
        <v>105.95699999999999</v>
      </c>
      <c r="O113" s="175">
        <v>1</v>
      </c>
      <c r="P113" s="175">
        <v>1</v>
      </c>
      <c r="Q113" s="393">
        <v>525447607.44999999</v>
      </c>
      <c r="R113" s="390">
        <v>8.5111000000000006E-3</v>
      </c>
      <c r="S113" s="175">
        <v>6.875</v>
      </c>
      <c r="T113" s="175">
        <v>2.2561999999999999E-2</v>
      </c>
      <c r="U113" s="175">
        <v>5.7481</v>
      </c>
      <c r="V113" s="175">
        <v>4.4087000000000001E-2</v>
      </c>
      <c r="W113" s="175">
        <v>2055</v>
      </c>
      <c r="X113" s="175">
        <v>19.353581999999999</v>
      </c>
      <c r="Y113" s="175">
        <v>2.3607070000000001</v>
      </c>
      <c r="Z113" s="175">
        <v>2.3607070000000001</v>
      </c>
      <c r="AA113" s="175">
        <v>2.1985000000000001E-2</v>
      </c>
      <c r="AB113" s="175">
        <v>4.8827000000000002E-2</v>
      </c>
      <c r="AC113" s="175">
        <v>2.2518E-2</v>
      </c>
      <c r="AD113" s="175">
        <v>2.1942E-2</v>
      </c>
    </row>
    <row r="114" spans="1:30">
      <c r="A114" s="170" t="s">
        <v>503</v>
      </c>
      <c r="B114" s="170" t="s">
        <v>535</v>
      </c>
      <c r="C114" s="170" t="s">
        <v>752</v>
      </c>
      <c r="D114" s="170" t="s">
        <v>751</v>
      </c>
      <c r="E114" s="170" t="s">
        <v>491</v>
      </c>
      <c r="F114" s="170" t="s">
        <v>547</v>
      </c>
      <c r="G114" s="170" t="s">
        <v>498</v>
      </c>
      <c r="H114" s="170" t="s">
        <v>575</v>
      </c>
      <c r="I114" s="170" t="s">
        <v>39</v>
      </c>
      <c r="J114" s="170" t="s">
        <v>750</v>
      </c>
      <c r="K114" s="170" t="s">
        <v>511</v>
      </c>
      <c r="L114" s="170" t="s">
        <v>41</v>
      </c>
      <c r="M114" s="175">
        <v>967000</v>
      </c>
      <c r="N114" s="175">
        <v>103.15300000000001</v>
      </c>
      <c r="O114" s="175">
        <v>1</v>
      </c>
      <c r="P114" s="175">
        <v>1</v>
      </c>
      <c r="Q114" s="393">
        <v>525447607.44999999</v>
      </c>
      <c r="R114" s="390">
        <v>1.9263800000000001E-3</v>
      </c>
      <c r="S114" s="175">
        <v>4.75</v>
      </c>
      <c r="T114" s="175">
        <v>7.9279999999999993E-3</v>
      </c>
      <c r="U114" s="175">
        <v>4.0814000000000004</v>
      </c>
      <c r="V114" s="175">
        <v>7.783E-3</v>
      </c>
      <c r="W114" s="175">
        <v>1713</v>
      </c>
      <c r="X114" s="175">
        <v>3.6514380000000002</v>
      </c>
      <c r="Y114" s="175">
        <v>0.34758600000000001</v>
      </c>
      <c r="Z114" s="175">
        <v>0.34758600000000001</v>
      </c>
      <c r="AA114" s="175">
        <v>7.9939999999999994E-3</v>
      </c>
      <c r="AB114" s="175">
        <v>7.835E-3</v>
      </c>
      <c r="AC114" s="175">
        <v>7.9000000000000008E-3</v>
      </c>
      <c r="AD114" s="175">
        <v>7.9660000000000009E-3</v>
      </c>
    </row>
    <row r="115" spans="1:30">
      <c r="A115" s="170" t="s">
        <v>503</v>
      </c>
      <c r="B115" s="170" t="s">
        <v>535</v>
      </c>
      <c r="C115" s="170" t="s">
        <v>749</v>
      </c>
      <c r="D115" s="170" t="s">
        <v>748</v>
      </c>
      <c r="E115" s="170" t="s">
        <v>491</v>
      </c>
      <c r="F115" s="170" t="s">
        <v>499</v>
      </c>
      <c r="G115" s="170" t="s">
        <v>498</v>
      </c>
      <c r="H115" s="170" t="s">
        <v>513</v>
      </c>
      <c r="I115" s="170" t="s">
        <v>39</v>
      </c>
      <c r="J115" s="170" t="s">
        <v>747</v>
      </c>
      <c r="K115" s="170" t="s">
        <v>511</v>
      </c>
      <c r="L115" s="170" t="s">
        <v>114</v>
      </c>
      <c r="M115" s="175">
        <v>1000000</v>
      </c>
      <c r="N115" s="175">
        <v>103.953</v>
      </c>
      <c r="O115" s="175">
        <v>1</v>
      </c>
      <c r="P115" s="175">
        <v>1</v>
      </c>
      <c r="Q115" s="393">
        <v>525447607.44999999</v>
      </c>
      <c r="R115" s="390">
        <v>2.0042300000000001E-3</v>
      </c>
      <c r="S115" s="175">
        <v>5.375</v>
      </c>
      <c r="T115" s="175">
        <v>3.2680000000000001E-3</v>
      </c>
      <c r="U115" s="175">
        <v>4.5723000000000003</v>
      </c>
      <c r="V115" s="175">
        <v>8.0370000000000007E-3</v>
      </c>
      <c r="W115" s="175">
        <v>1737</v>
      </c>
      <c r="X115" s="175">
        <v>3.8522189999999998</v>
      </c>
      <c r="Y115" s="175">
        <v>0.32869199999999998</v>
      </c>
      <c r="Z115" s="175">
        <v>0.32869199999999998</v>
      </c>
      <c r="AA115" s="175">
        <v>3.1449999999999998E-3</v>
      </c>
      <c r="AB115" s="175">
        <v>9.1350000000000008E-3</v>
      </c>
      <c r="AC115" s="175">
        <v>3.258E-3</v>
      </c>
      <c r="AD115" s="175">
        <v>3.1350000000000002E-3</v>
      </c>
    </row>
    <row r="116" spans="1:30">
      <c r="A116" s="170" t="s">
        <v>503</v>
      </c>
      <c r="B116" s="170" t="s">
        <v>535</v>
      </c>
      <c r="C116" s="170" t="s">
        <v>746</v>
      </c>
      <c r="D116" s="170" t="s">
        <v>745</v>
      </c>
      <c r="E116" s="170" t="s">
        <v>491</v>
      </c>
      <c r="F116" s="170" t="s">
        <v>685</v>
      </c>
      <c r="G116" s="170" t="s">
        <v>498</v>
      </c>
      <c r="H116" s="170" t="s">
        <v>567</v>
      </c>
      <c r="I116" s="170" t="s">
        <v>39</v>
      </c>
      <c r="J116" s="170" t="s">
        <v>587</v>
      </c>
      <c r="K116" s="170" t="s">
        <v>586</v>
      </c>
      <c r="L116" s="170" t="s">
        <v>43</v>
      </c>
      <c r="M116" s="175">
        <v>3597000</v>
      </c>
      <c r="N116" s="175">
        <v>104.557</v>
      </c>
      <c r="O116" s="175">
        <v>1</v>
      </c>
      <c r="P116" s="175">
        <v>1</v>
      </c>
      <c r="Q116" s="393">
        <v>525447607.44999999</v>
      </c>
      <c r="R116" s="390">
        <v>7.4766399999999997E-3</v>
      </c>
      <c r="S116" s="175">
        <v>4.875</v>
      </c>
      <c r="T116" s="175">
        <v>2.5260000000000001E-2</v>
      </c>
      <c r="U116" s="175">
        <v>4.5538999999999996</v>
      </c>
      <c r="V116" s="175">
        <v>2.7439000000000002E-2</v>
      </c>
      <c r="W116" s="175">
        <v>19847</v>
      </c>
      <c r="X116" s="175">
        <v>164.19705300000001</v>
      </c>
      <c r="Y116" s="175">
        <v>1.143645</v>
      </c>
      <c r="Z116" s="175">
        <v>1.143645</v>
      </c>
      <c r="AA116" s="175">
        <v>2.5523000000000001E-2</v>
      </c>
      <c r="AB116" s="175">
        <v>3.3937000000000002E-2</v>
      </c>
      <c r="AC116" s="175">
        <v>2.5177999999999999E-2</v>
      </c>
      <c r="AD116" s="175">
        <v>2.5440000000000001E-2</v>
      </c>
    </row>
    <row r="117" spans="1:30">
      <c r="A117" s="170" t="s">
        <v>503</v>
      </c>
      <c r="B117" s="170" t="s">
        <v>535</v>
      </c>
      <c r="C117" s="170" t="s">
        <v>744</v>
      </c>
      <c r="D117" s="170" t="s">
        <v>743</v>
      </c>
      <c r="E117" s="170" t="s">
        <v>491</v>
      </c>
      <c r="F117" s="170" t="s">
        <v>532</v>
      </c>
      <c r="G117" s="170" t="s">
        <v>531</v>
      </c>
      <c r="H117" s="170" t="s">
        <v>588</v>
      </c>
      <c r="I117" s="170" t="s">
        <v>39</v>
      </c>
      <c r="J117" s="170" t="s">
        <v>742</v>
      </c>
      <c r="K117" s="170" t="s">
        <v>511</v>
      </c>
      <c r="L117" s="170" t="s">
        <v>115</v>
      </c>
      <c r="M117" s="175">
        <v>2450000</v>
      </c>
      <c r="N117" s="175">
        <v>102.608</v>
      </c>
      <c r="O117" s="175">
        <v>1</v>
      </c>
      <c r="P117" s="175">
        <v>1</v>
      </c>
      <c r="Q117" s="393">
        <v>525447607.44999999</v>
      </c>
      <c r="R117" s="390">
        <v>4.8461700000000003E-3</v>
      </c>
      <c r="S117" s="175">
        <v>5.25</v>
      </c>
      <c r="T117" s="175">
        <v>1.1919000000000001E-2</v>
      </c>
      <c r="U117" s="175">
        <v>4.6515000000000004</v>
      </c>
      <c r="V117" s="175">
        <v>2.1468999999999999E-2</v>
      </c>
      <c r="W117" s="175">
        <v>1372</v>
      </c>
      <c r="X117" s="175">
        <v>7.3572749999999996</v>
      </c>
      <c r="Y117" s="175">
        <v>1.083353</v>
      </c>
      <c r="Z117" s="175">
        <v>1.083353</v>
      </c>
      <c r="AA117" s="175">
        <v>1.1786E-2</v>
      </c>
      <c r="AB117" s="175">
        <v>2.2460999999999998E-2</v>
      </c>
      <c r="AC117" s="175">
        <v>1.1875999999999999E-2</v>
      </c>
      <c r="AD117" s="175">
        <v>1.1743E-2</v>
      </c>
    </row>
    <row r="118" spans="1:30">
      <c r="A118" s="170" t="s">
        <v>503</v>
      </c>
      <c r="B118" s="170" t="s">
        <v>535</v>
      </c>
      <c r="C118" s="170" t="s">
        <v>741</v>
      </c>
      <c r="D118" s="170" t="s">
        <v>740</v>
      </c>
      <c r="E118" s="170" t="s">
        <v>491</v>
      </c>
      <c r="F118" s="170" t="s">
        <v>499</v>
      </c>
      <c r="G118" s="170" t="s">
        <v>498</v>
      </c>
      <c r="H118" s="170" t="s">
        <v>697</v>
      </c>
      <c r="I118" s="170" t="s">
        <v>39</v>
      </c>
      <c r="J118" s="170" t="s">
        <v>739</v>
      </c>
      <c r="K118" s="170" t="s">
        <v>511</v>
      </c>
      <c r="L118" s="170" t="s">
        <v>115</v>
      </c>
      <c r="M118" s="175">
        <v>3007000</v>
      </c>
      <c r="N118" s="175">
        <v>106.322</v>
      </c>
      <c r="O118" s="175">
        <v>1</v>
      </c>
      <c r="P118" s="175">
        <v>1</v>
      </c>
      <c r="Q118" s="393">
        <v>525447607.44999999</v>
      </c>
      <c r="R118" s="390">
        <v>6.1571400000000002E-3</v>
      </c>
      <c r="S118" s="175">
        <v>4.875</v>
      </c>
      <c r="T118" s="175">
        <v>2.5443E-2</v>
      </c>
      <c r="U118" s="175">
        <v>3.4716999999999998</v>
      </c>
      <c r="V118" s="175">
        <v>2.0934000000000001E-2</v>
      </c>
      <c r="W118" s="175">
        <v>1735</v>
      </c>
      <c r="X118" s="175">
        <v>11.820690000000001</v>
      </c>
      <c r="Y118" s="175">
        <v>0.73362300000000003</v>
      </c>
      <c r="Z118" s="175">
        <v>0.73362300000000003</v>
      </c>
      <c r="AA118" s="175">
        <v>2.5661E-2</v>
      </c>
      <c r="AB118" s="175">
        <v>2.1319999999999999E-2</v>
      </c>
      <c r="AC118" s="175">
        <v>2.5377E-2</v>
      </c>
      <c r="AD118" s="175">
        <v>2.5593999999999999E-2</v>
      </c>
    </row>
    <row r="119" spans="1:30">
      <c r="A119" s="170" t="s">
        <v>503</v>
      </c>
      <c r="B119" s="170" t="s">
        <v>535</v>
      </c>
      <c r="C119" s="170" t="s">
        <v>738</v>
      </c>
      <c r="D119" s="170" t="s">
        <v>737</v>
      </c>
      <c r="E119" s="170" t="s">
        <v>491</v>
      </c>
      <c r="F119" s="170" t="s">
        <v>293</v>
      </c>
      <c r="G119" s="170" t="s">
        <v>498</v>
      </c>
      <c r="H119" s="170" t="s">
        <v>567</v>
      </c>
      <c r="I119" s="170" t="s">
        <v>39</v>
      </c>
      <c r="J119" s="170" t="s">
        <v>517</v>
      </c>
      <c r="K119" s="170" t="s">
        <v>495</v>
      </c>
      <c r="L119" s="170" t="s">
        <v>111</v>
      </c>
      <c r="M119" s="175">
        <v>5447000</v>
      </c>
      <c r="N119" s="175">
        <v>103.867</v>
      </c>
      <c r="O119" s="175">
        <v>1</v>
      </c>
      <c r="P119" s="175">
        <v>1</v>
      </c>
      <c r="Q119" s="393">
        <v>525447607.44999999</v>
      </c>
      <c r="R119" s="390">
        <v>1.0901889999999999E-2</v>
      </c>
      <c r="S119" s="175">
        <v>6</v>
      </c>
      <c r="T119" s="175">
        <v>3.7977999999999998E-2</v>
      </c>
      <c r="U119" s="175">
        <v>5.2718999999999996</v>
      </c>
      <c r="V119" s="175">
        <v>5.3963999999999998E-2</v>
      </c>
      <c r="W119" s="175">
        <v>2116</v>
      </c>
      <c r="X119" s="175">
        <v>25.525925999999998</v>
      </c>
      <c r="Y119" s="175">
        <v>2.8446229999999999</v>
      </c>
      <c r="Z119" s="175">
        <v>2.8446229999999999</v>
      </c>
      <c r="AA119" s="175">
        <v>3.7205000000000002E-2</v>
      </c>
      <c r="AB119" s="175">
        <v>5.7317E-2</v>
      </c>
      <c r="AC119" s="175">
        <v>3.7874999999999999E-2</v>
      </c>
      <c r="AD119" s="175">
        <v>3.7102999999999997E-2</v>
      </c>
    </row>
    <row r="120" spans="1:30">
      <c r="A120" s="170" t="s">
        <v>503</v>
      </c>
      <c r="B120" s="170" t="s">
        <v>535</v>
      </c>
      <c r="C120" s="170" t="s">
        <v>736</v>
      </c>
      <c r="D120" s="170" t="s">
        <v>735</v>
      </c>
      <c r="E120" s="170" t="s">
        <v>491</v>
      </c>
      <c r="F120" s="170" t="s">
        <v>287</v>
      </c>
      <c r="G120" s="170" t="s">
        <v>498</v>
      </c>
      <c r="H120" s="170" t="s">
        <v>642</v>
      </c>
      <c r="I120" s="170" t="s">
        <v>39</v>
      </c>
      <c r="J120" s="170" t="s">
        <v>734</v>
      </c>
      <c r="K120" s="170" t="s">
        <v>511</v>
      </c>
      <c r="L120" s="170" t="s">
        <v>111</v>
      </c>
      <c r="M120" s="175">
        <v>953000</v>
      </c>
      <c r="N120" s="175">
        <v>104.73099999999999</v>
      </c>
      <c r="O120" s="175">
        <v>1</v>
      </c>
      <c r="P120" s="175">
        <v>1</v>
      </c>
      <c r="Q120" s="393">
        <v>525447607.44999999</v>
      </c>
      <c r="R120" s="390">
        <v>1.91909E-3</v>
      </c>
      <c r="S120" s="175">
        <v>6.375</v>
      </c>
      <c r="T120" s="175">
        <v>3.3609999999999998E-3</v>
      </c>
      <c r="U120" s="175">
        <v>5.2145000000000001</v>
      </c>
      <c r="V120" s="175">
        <v>9.2499999999999995E-3</v>
      </c>
      <c r="W120" s="175">
        <v>1402</v>
      </c>
      <c r="X120" s="175">
        <v>2.977195</v>
      </c>
      <c r="Y120" s="175">
        <v>0.48199799999999998</v>
      </c>
      <c r="Z120" s="175">
        <v>0.48199799999999998</v>
      </c>
      <c r="AA120" s="175">
        <v>3.2799999999999999E-3</v>
      </c>
      <c r="AB120" s="175">
        <v>9.9590000000000008E-3</v>
      </c>
      <c r="AC120" s="175">
        <v>3.3449999999999999E-3</v>
      </c>
      <c r="AD120" s="175">
        <v>3.264E-3</v>
      </c>
    </row>
    <row r="121" spans="1:30">
      <c r="A121" s="170" t="s">
        <v>503</v>
      </c>
      <c r="B121" s="170" t="s">
        <v>535</v>
      </c>
      <c r="C121" s="170" t="s">
        <v>733</v>
      </c>
      <c r="D121" s="170" t="s">
        <v>732</v>
      </c>
      <c r="E121" s="170" t="s">
        <v>491</v>
      </c>
      <c r="F121" s="170" t="s">
        <v>532</v>
      </c>
      <c r="G121" s="170" t="s">
        <v>531</v>
      </c>
      <c r="H121" s="170" t="s">
        <v>551</v>
      </c>
      <c r="I121" s="170" t="s">
        <v>39</v>
      </c>
      <c r="J121" s="170" t="s">
        <v>507</v>
      </c>
      <c r="K121" s="170" t="s">
        <v>495</v>
      </c>
      <c r="L121" s="170" t="s">
        <v>111</v>
      </c>
      <c r="M121" s="175">
        <v>4159000</v>
      </c>
      <c r="N121" s="175">
        <v>102.316</v>
      </c>
      <c r="O121" s="175">
        <v>1</v>
      </c>
      <c r="P121" s="175">
        <v>1</v>
      </c>
      <c r="Q121" s="393">
        <v>525447607.44999999</v>
      </c>
      <c r="R121" s="390">
        <v>8.1669800000000008E-3</v>
      </c>
      <c r="S121" s="175">
        <v>6.5</v>
      </c>
      <c r="T121" s="175">
        <v>3.2735E-2</v>
      </c>
      <c r="U121" s="175">
        <v>6.1215999999999999</v>
      </c>
      <c r="V121" s="175">
        <v>4.8675000000000003E-2</v>
      </c>
      <c r="W121" s="175">
        <v>2146</v>
      </c>
      <c r="X121" s="175">
        <v>19.393449</v>
      </c>
      <c r="Y121" s="175">
        <v>2.9030459999999998</v>
      </c>
      <c r="Z121" s="175">
        <v>2.9030459999999998</v>
      </c>
      <c r="AA121" s="175">
        <v>3.2343999999999998E-2</v>
      </c>
      <c r="AB121" s="175">
        <v>4.9756000000000002E-2</v>
      </c>
      <c r="AC121" s="175">
        <v>3.2578999999999997E-2</v>
      </c>
      <c r="AD121" s="175">
        <v>3.2189000000000002E-2</v>
      </c>
    </row>
    <row r="122" spans="1:30">
      <c r="A122" s="170" t="s">
        <v>503</v>
      </c>
      <c r="B122" s="170" t="s">
        <v>535</v>
      </c>
      <c r="C122" s="170" t="s">
        <v>731</v>
      </c>
      <c r="D122" s="170" t="s">
        <v>730</v>
      </c>
      <c r="E122" s="170" t="s">
        <v>491</v>
      </c>
      <c r="F122" s="170" t="s">
        <v>499</v>
      </c>
      <c r="G122" s="170" t="s">
        <v>498</v>
      </c>
      <c r="H122" s="170" t="s">
        <v>551</v>
      </c>
      <c r="I122" s="170" t="s">
        <v>39</v>
      </c>
      <c r="J122" s="170" t="s">
        <v>729</v>
      </c>
      <c r="K122" s="170" t="s">
        <v>511</v>
      </c>
      <c r="L122" s="170" t="s">
        <v>111</v>
      </c>
      <c r="M122" s="175">
        <v>3340000</v>
      </c>
      <c r="N122" s="175">
        <v>105.706</v>
      </c>
      <c r="O122" s="175">
        <v>1</v>
      </c>
      <c r="P122" s="175">
        <v>1</v>
      </c>
      <c r="Q122" s="393">
        <v>525447607.44999999</v>
      </c>
      <c r="R122" s="390">
        <v>6.79308E-3</v>
      </c>
      <c r="S122" s="175">
        <v>6.75</v>
      </c>
      <c r="T122" s="175">
        <v>7.1050000000000002E-3</v>
      </c>
      <c r="U122" s="175">
        <v>5.3479999999999999</v>
      </c>
      <c r="V122" s="175">
        <v>2.8327000000000001E-2</v>
      </c>
      <c r="W122" s="175">
        <v>1585</v>
      </c>
      <c r="X122" s="175">
        <v>11.914068</v>
      </c>
      <c r="Y122" s="175">
        <v>1.454982</v>
      </c>
      <c r="Z122" s="175">
        <v>1.454982</v>
      </c>
      <c r="AA122" s="175">
        <v>6.9719999999999999E-3</v>
      </c>
      <c r="AB122" s="175">
        <v>3.6211E-2</v>
      </c>
      <c r="AC122" s="175">
        <v>7.0819999999999998E-3</v>
      </c>
      <c r="AD122" s="175">
        <v>6.9490000000000003E-3</v>
      </c>
    </row>
    <row r="123" spans="1:30">
      <c r="A123" s="170" t="s">
        <v>503</v>
      </c>
      <c r="B123" s="170" t="s">
        <v>535</v>
      </c>
      <c r="C123" s="170" t="s">
        <v>728</v>
      </c>
      <c r="D123" s="170" t="s">
        <v>727</v>
      </c>
      <c r="E123" s="170" t="s">
        <v>491</v>
      </c>
      <c r="F123" s="170" t="s">
        <v>514</v>
      </c>
      <c r="G123" s="170" t="s">
        <v>498</v>
      </c>
      <c r="H123" s="170" t="s">
        <v>508</v>
      </c>
      <c r="I123" s="170" t="s">
        <v>39</v>
      </c>
      <c r="J123" s="170" t="s">
        <v>724</v>
      </c>
      <c r="K123" s="170" t="s">
        <v>511</v>
      </c>
      <c r="L123" s="170" t="s">
        <v>113</v>
      </c>
      <c r="M123" s="175">
        <v>4293000</v>
      </c>
      <c r="N123" s="175">
        <v>105.46599999999999</v>
      </c>
      <c r="O123" s="175">
        <v>1</v>
      </c>
      <c r="P123" s="175">
        <v>1</v>
      </c>
      <c r="Q123" s="393">
        <v>525447607.44999999</v>
      </c>
      <c r="R123" s="390">
        <v>8.6874299999999995E-3</v>
      </c>
      <c r="S123" s="175">
        <v>6.625</v>
      </c>
      <c r="T123" s="175">
        <v>1.0326E-2</v>
      </c>
      <c r="U123" s="175">
        <v>5.1261999999999999</v>
      </c>
      <c r="V123" s="175">
        <v>3.7007999999999999E-2</v>
      </c>
      <c r="W123" s="175">
        <v>1416</v>
      </c>
      <c r="X123" s="175">
        <v>13.611889</v>
      </c>
      <c r="Y123" s="175">
        <v>1.9104099999999999</v>
      </c>
      <c r="Z123" s="175">
        <v>1.9104099999999999</v>
      </c>
      <c r="AA123" s="175">
        <v>1.0168E-2</v>
      </c>
      <c r="AB123" s="175">
        <v>4.4426E-2</v>
      </c>
      <c r="AC123" s="175">
        <v>1.0302E-2</v>
      </c>
      <c r="AD123" s="175">
        <v>1.0144E-2</v>
      </c>
    </row>
    <row r="124" spans="1:30">
      <c r="A124" s="170" t="s">
        <v>503</v>
      </c>
      <c r="B124" s="170" t="s">
        <v>535</v>
      </c>
      <c r="C124" s="170" t="s">
        <v>726</v>
      </c>
      <c r="D124" s="170" t="s">
        <v>725</v>
      </c>
      <c r="E124" s="170" t="s">
        <v>491</v>
      </c>
      <c r="F124" s="170" t="s">
        <v>514</v>
      </c>
      <c r="G124" s="170" t="s">
        <v>498</v>
      </c>
      <c r="H124" s="170" t="s">
        <v>567</v>
      </c>
      <c r="I124" s="170" t="s">
        <v>39</v>
      </c>
      <c r="J124" s="170" t="s">
        <v>724</v>
      </c>
      <c r="K124" s="170" t="s">
        <v>511</v>
      </c>
      <c r="L124" s="170" t="s">
        <v>114</v>
      </c>
      <c r="M124" s="175">
        <v>3444300</v>
      </c>
      <c r="N124" s="175">
        <v>106.17700000000001</v>
      </c>
      <c r="O124" s="175">
        <v>1</v>
      </c>
      <c r="P124" s="175">
        <v>1</v>
      </c>
      <c r="Q124" s="393">
        <v>525447607.44999999</v>
      </c>
      <c r="R124" s="390">
        <v>7.0176500000000003E-3</v>
      </c>
      <c r="S124" s="175">
        <v>6.75</v>
      </c>
      <c r="T124" s="175">
        <v>6.502E-3</v>
      </c>
      <c r="U124" s="175">
        <v>5.0702999999999996</v>
      </c>
      <c r="V124" s="175">
        <v>2.6386E-2</v>
      </c>
      <c r="W124" s="175">
        <v>1416</v>
      </c>
      <c r="X124" s="175">
        <v>10.995602</v>
      </c>
      <c r="Y124" s="175">
        <v>1.2593939999999999</v>
      </c>
      <c r="Z124" s="175">
        <v>1.2593939999999999</v>
      </c>
      <c r="AA124" s="175">
        <v>6.5050000000000004E-3</v>
      </c>
      <c r="AB124" s="175">
        <v>3.5471000000000003E-2</v>
      </c>
      <c r="AC124" s="175">
        <v>6.4819999999999999E-3</v>
      </c>
      <c r="AD124" s="175">
        <v>6.4850000000000003E-3</v>
      </c>
    </row>
    <row r="125" spans="1:30">
      <c r="A125" s="170" t="s">
        <v>503</v>
      </c>
      <c r="B125" s="170" t="s">
        <v>535</v>
      </c>
      <c r="C125" s="170" t="s">
        <v>723</v>
      </c>
      <c r="D125" s="170" t="s">
        <v>722</v>
      </c>
      <c r="E125" s="170" t="s">
        <v>491</v>
      </c>
      <c r="F125" s="170" t="s">
        <v>499</v>
      </c>
      <c r="G125" s="170" t="s">
        <v>498</v>
      </c>
      <c r="H125" s="170" t="s">
        <v>588</v>
      </c>
      <c r="I125" s="170" t="s">
        <v>39</v>
      </c>
      <c r="J125" s="170" t="s">
        <v>721</v>
      </c>
      <c r="K125" s="170" t="s">
        <v>511</v>
      </c>
      <c r="L125" s="170" t="s">
        <v>115</v>
      </c>
      <c r="M125" s="175">
        <v>2000000</v>
      </c>
      <c r="N125" s="175">
        <v>104.70699999999999</v>
      </c>
      <c r="O125" s="175">
        <v>1</v>
      </c>
      <c r="P125" s="175">
        <v>1</v>
      </c>
      <c r="Q125" s="393">
        <v>525447607.44999999</v>
      </c>
      <c r="R125" s="390">
        <v>4.0891499999999997E-3</v>
      </c>
      <c r="S125" s="175">
        <v>4.5</v>
      </c>
      <c r="T125" s="175">
        <v>1.5642E-2</v>
      </c>
      <c r="U125" s="175">
        <v>3.3936000000000002</v>
      </c>
      <c r="V125" s="175">
        <v>1.3617000000000001E-2</v>
      </c>
      <c r="W125" s="175">
        <v>1609</v>
      </c>
      <c r="X125" s="175">
        <v>7.2803620000000002</v>
      </c>
      <c r="Y125" s="175">
        <v>0.47150999999999998</v>
      </c>
      <c r="Z125" s="175">
        <v>0.47150999999999998</v>
      </c>
      <c r="AA125" s="175">
        <v>1.5772000000000001E-2</v>
      </c>
      <c r="AB125" s="175">
        <v>1.3844E-2</v>
      </c>
      <c r="AC125" s="175">
        <v>1.5605000000000001E-2</v>
      </c>
      <c r="AD125" s="175">
        <v>1.5734000000000001E-2</v>
      </c>
    </row>
    <row r="126" spans="1:30">
      <c r="A126" s="170" t="s">
        <v>503</v>
      </c>
      <c r="B126" s="170" t="s">
        <v>535</v>
      </c>
      <c r="C126" s="170" t="s">
        <v>720</v>
      </c>
      <c r="D126" s="170" t="s">
        <v>719</v>
      </c>
      <c r="E126" s="170" t="s">
        <v>491</v>
      </c>
      <c r="F126" s="170" t="s">
        <v>571</v>
      </c>
      <c r="G126" s="170" t="s">
        <v>498</v>
      </c>
      <c r="H126" s="170" t="s">
        <v>575</v>
      </c>
      <c r="I126" s="170" t="s">
        <v>39</v>
      </c>
      <c r="J126" s="170" t="s">
        <v>718</v>
      </c>
      <c r="K126" s="170" t="s">
        <v>511</v>
      </c>
      <c r="L126" s="170" t="s">
        <v>111</v>
      </c>
      <c r="M126" s="175">
        <v>3700000</v>
      </c>
      <c r="N126" s="175">
        <v>75.224999999999994</v>
      </c>
      <c r="O126" s="175">
        <v>1</v>
      </c>
      <c r="P126" s="175">
        <v>1</v>
      </c>
      <c r="Q126" s="393">
        <v>525447607.44999999</v>
      </c>
      <c r="R126" s="390">
        <v>5.3619899999999996E-3</v>
      </c>
      <c r="S126" s="175">
        <v>10.375</v>
      </c>
      <c r="T126" s="175">
        <v>1.8447000000000002E-2</v>
      </c>
      <c r="U126" s="175">
        <v>20.128599999999999</v>
      </c>
      <c r="V126" s="175">
        <v>0.10793700000000001</v>
      </c>
      <c r="W126" s="175">
        <v>1615</v>
      </c>
      <c r="X126" s="175">
        <v>9.5821500000000004</v>
      </c>
      <c r="Y126" s="175">
        <v>8.5996380000000006</v>
      </c>
      <c r="Z126" s="175">
        <v>8.5996380000000006</v>
      </c>
      <c r="AA126" s="175">
        <v>1.8643E-2</v>
      </c>
      <c r="AB126" s="175">
        <v>0.10674400000000001</v>
      </c>
      <c r="AC126" s="175">
        <v>1.8245000000000001E-2</v>
      </c>
      <c r="AD126" s="175">
        <v>1.8438E-2</v>
      </c>
    </row>
    <row r="127" spans="1:30">
      <c r="A127" s="170" t="s">
        <v>503</v>
      </c>
      <c r="B127" s="170" t="s">
        <v>535</v>
      </c>
      <c r="C127" s="170" t="s">
        <v>717</v>
      </c>
      <c r="D127" s="170" t="s">
        <v>716</v>
      </c>
      <c r="E127" s="170" t="s">
        <v>491</v>
      </c>
      <c r="F127" s="170" t="s">
        <v>287</v>
      </c>
      <c r="G127" s="170" t="s">
        <v>498</v>
      </c>
      <c r="H127" s="170" t="s">
        <v>544</v>
      </c>
      <c r="I127" s="170" t="s">
        <v>39</v>
      </c>
      <c r="J127" s="170" t="s">
        <v>715</v>
      </c>
      <c r="K127" s="170" t="s">
        <v>511</v>
      </c>
      <c r="L127" s="170" t="s">
        <v>114</v>
      </c>
      <c r="M127" s="175">
        <v>1298000</v>
      </c>
      <c r="N127" s="175">
        <v>102.117</v>
      </c>
      <c r="O127" s="175">
        <v>1</v>
      </c>
      <c r="P127" s="175">
        <v>1</v>
      </c>
      <c r="Q127" s="393">
        <v>525447607.44999999</v>
      </c>
      <c r="R127" s="390">
        <v>2.5710500000000001E-3</v>
      </c>
      <c r="S127" s="175">
        <v>4.5</v>
      </c>
      <c r="T127" s="175">
        <v>8.3560000000000006E-3</v>
      </c>
      <c r="U127" s="175">
        <v>4.0869</v>
      </c>
      <c r="V127" s="175">
        <v>1.0233000000000001E-2</v>
      </c>
      <c r="W127" s="175">
        <v>1669</v>
      </c>
      <c r="X127" s="175">
        <v>4.7482199999999999</v>
      </c>
      <c r="Y127" s="175">
        <v>0.43291400000000002</v>
      </c>
      <c r="Z127" s="175">
        <v>0.43291400000000002</v>
      </c>
      <c r="AA127" s="175">
        <v>8.2559999999999995E-3</v>
      </c>
      <c r="AB127" s="175">
        <v>1.0482E-2</v>
      </c>
      <c r="AC127" s="175">
        <v>8.3359999999999997E-3</v>
      </c>
      <c r="AD127" s="175">
        <v>8.2360000000000003E-3</v>
      </c>
    </row>
    <row r="128" spans="1:30">
      <c r="A128" s="170" t="s">
        <v>503</v>
      </c>
      <c r="B128" s="170" t="s">
        <v>535</v>
      </c>
      <c r="C128" s="170" t="s">
        <v>714</v>
      </c>
      <c r="D128" s="170" t="s">
        <v>713</v>
      </c>
      <c r="E128" s="170" t="s">
        <v>491</v>
      </c>
      <c r="F128" s="170" t="s">
        <v>293</v>
      </c>
      <c r="G128" s="170" t="s">
        <v>498</v>
      </c>
      <c r="H128" s="170" t="s">
        <v>567</v>
      </c>
      <c r="I128" s="170" t="s">
        <v>39</v>
      </c>
      <c r="J128" s="170" t="s">
        <v>712</v>
      </c>
      <c r="K128" s="170" t="s">
        <v>586</v>
      </c>
      <c r="L128" s="170" t="s">
        <v>41</v>
      </c>
      <c r="M128" s="175">
        <v>1600000</v>
      </c>
      <c r="N128" s="175">
        <v>98.802000000000007</v>
      </c>
      <c r="O128" s="175">
        <v>1</v>
      </c>
      <c r="P128" s="175">
        <v>1</v>
      </c>
      <c r="Q128" s="393">
        <v>525447607.44999999</v>
      </c>
      <c r="R128" s="390">
        <v>3.1862399999999999E-3</v>
      </c>
      <c r="S128" s="175">
        <v>6</v>
      </c>
      <c r="T128" s="175">
        <v>1.7111000000000001E-2</v>
      </c>
      <c r="U128" s="175">
        <v>6.181</v>
      </c>
      <c r="V128" s="175">
        <v>2.0073000000000001E-2</v>
      </c>
      <c r="W128" s="175">
        <v>10606</v>
      </c>
      <c r="X128" s="175">
        <v>37.393324</v>
      </c>
      <c r="Y128" s="175">
        <v>1.1939569999999999</v>
      </c>
      <c r="Z128" s="175">
        <v>1.1939569999999999</v>
      </c>
      <c r="AA128" s="175">
        <v>1.7312999999999999E-2</v>
      </c>
      <c r="AB128" s="175">
        <v>1.9609000000000001E-2</v>
      </c>
      <c r="AC128" s="175">
        <v>1.7037E-2</v>
      </c>
      <c r="AD128" s="175">
        <v>1.7238E-2</v>
      </c>
    </row>
    <row r="129" spans="1:30">
      <c r="A129" s="170" t="s">
        <v>503</v>
      </c>
      <c r="B129" s="170" t="s">
        <v>535</v>
      </c>
      <c r="C129" s="170" t="s">
        <v>711</v>
      </c>
      <c r="D129" s="170" t="s">
        <v>710</v>
      </c>
      <c r="E129" s="170" t="s">
        <v>491</v>
      </c>
      <c r="F129" s="170" t="s">
        <v>532</v>
      </c>
      <c r="G129" s="170" t="s">
        <v>531</v>
      </c>
      <c r="H129" s="170" t="s">
        <v>551</v>
      </c>
      <c r="I129" s="170" t="s">
        <v>39</v>
      </c>
      <c r="J129" s="170" t="s">
        <v>709</v>
      </c>
      <c r="K129" s="170" t="s">
        <v>528</v>
      </c>
      <c r="L129" s="170" t="s">
        <v>114</v>
      </c>
      <c r="M129" s="175">
        <v>2817000</v>
      </c>
      <c r="N129" s="175">
        <v>103.742</v>
      </c>
      <c r="O129" s="175">
        <v>1</v>
      </c>
      <c r="P129" s="175">
        <v>1</v>
      </c>
      <c r="Q129" s="393">
        <v>525447607.44999999</v>
      </c>
      <c r="R129" s="390">
        <v>5.6849200000000004E-3</v>
      </c>
      <c r="S129" s="175">
        <v>5.375</v>
      </c>
      <c r="T129" s="175">
        <v>2.3397999999999999E-2</v>
      </c>
      <c r="U129" s="175">
        <v>4.8109000000000002</v>
      </c>
      <c r="V129" s="175">
        <v>2.5524999999999999E-2</v>
      </c>
      <c r="W129" s="175">
        <v>2589</v>
      </c>
      <c r="X129" s="175">
        <v>16.286217000000001</v>
      </c>
      <c r="Y129" s="175">
        <v>1.1048020000000001</v>
      </c>
      <c r="Z129" s="175">
        <v>1.1048020000000001</v>
      </c>
      <c r="AA129" s="175">
        <v>2.2811000000000001E-2</v>
      </c>
      <c r="AB129" s="175">
        <v>2.7216000000000001E-2</v>
      </c>
      <c r="AC129" s="175">
        <v>2.3283999999999999E-2</v>
      </c>
      <c r="AD129" s="175">
        <v>2.2699E-2</v>
      </c>
    </row>
    <row r="130" spans="1:30">
      <c r="A130" s="170" t="s">
        <v>503</v>
      </c>
      <c r="B130" s="170" t="s">
        <v>535</v>
      </c>
      <c r="C130" s="170" t="s">
        <v>708</v>
      </c>
      <c r="D130" s="170" t="s">
        <v>707</v>
      </c>
      <c r="E130" s="170" t="s">
        <v>491</v>
      </c>
      <c r="F130" s="170" t="s">
        <v>499</v>
      </c>
      <c r="G130" s="170" t="s">
        <v>498</v>
      </c>
      <c r="H130" s="170" t="s">
        <v>530</v>
      </c>
      <c r="I130" s="170" t="s">
        <v>39</v>
      </c>
      <c r="J130" s="170" t="s">
        <v>706</v>
      </c>
      <c r="K130" s="170" t="s">
        <v>495</v>
      </c>
      <c r="L130" s="170" t="s">
        <v>111</v>
      </c>
      <c r="M130" s="175">
        <v>3627000</v>
      </c>
      <c r="N130" s="175">
        <v>103.101</v>
      </c>
      <c r="O130" s="175">
        <v>1</v>
      </c>
      <c r="P130" s="175">
        <v>1</v>
      </c>
      <c r="Q130" s="393">
        <v>525447607.44999999</v>
      </c>
      <c r="R130" s="390">
        <v>7.3067499999999999E-3</v>
      </c>
      <c r="S130" s="175">
        <v>6.5</v>
      </c>
      <c r="T130" s="175">
        <v>2.8871000000000001E-2</v>
      </c>
      <c r="U130" s="175">
        <v>6.0500999999999996</v>
      </c>
      <c r="V130" s="175">
        <v>4.2597999999999997E-2</v>
      </c>
      <c r="W130" s="175">
        <v>2223</v>
      </c>
      <c r="X130" s="175">
        <v>17.973299999999998</v>
      </c>
      <c r="Y130" s="175">
        <v>2.4465020000000002</v>
      </c>
      <c r="Z130" s="175">
        <v>2.4465020000000002</v>
      </c>
      <c r="AA130" s="175">
        <v>2.8478E-2</v>
      </c>
      <c r="AB130" s="175">
        <v>4.4042999999999999E-2</v>
      </c>
      <c r="AC130" s="175">
        <v>2.8764000000000001E-2</v>
      </c>
      <c r="AD130" s="175">
        <v>2.8372999999999999E-2</v>
      </c>
    </row>
    <row r="131" spans="1:30">
      <c r="A131" s="170" t="s">
        <v>503</v>
      </c>
      <c r="B131" s="170" t="s">
        <v>535</v>
      </c>
      <c r="C131" s="170" t="s">
        <v>705</v>
      </c>
      <c r="D131" s="170" t="s">
        <v>704</v>
      </c>
      <c r="E131" s="170" t="s">
        <v>491</v>
      </c>
      <c r="F131" s="170" t="s">
        <v>537</v>
      </c>
      <c r="G131" s="170" t="s">
        <v>498</v>
      </c>
      <c r="H131" s="170" t="s">
        <v>622</v>
      </c>
      <c r="I131" s="170" t="s">
        <v>39</v>
      </c>
      <c r="J131" s="170" t="s">
        <v>703</v>
      </c>
      <c r="K131" s="170" t="s">
        <v>495</v>
      </c>
      <c r="L131" s="170" t="s">
        <v>115</v>
      </c>
      <c r="M131" s="175">
        <v>4063000</v>
      </c>
      <c r="N131" s="175">
        <v>102.029</v>
      </c>
      <c r="O131" s="175">
        <v>1</v>
      </c>
      <c r="P131" s="175">
        <v>1</v>
      </c>
      <c r="Q131" s="393">
        <v>525447607.44999999</v>
      </c>
      <c r="R131" s="390">
        <v>8.1664400000000005E-3</v>
      </c>
      <c r="S131" s="175">
        <v>6</v>
      </c>
      <c r="T131" s="175">
        <v>4.2576000000000003E-2</v>
      </c>
      <c r="U131" s="175">
        <v>5.6772999999999998</v>
      </c>
      <c r="V131" s="175">
        <v>4.6221999999999999E-2</v>
      </c>
      <c r="W131" s="175">
        <v>2342</v>
      </c>
      <c r="X131" s="175">
        <v>21.163326000000001</v>
      </c>
      <c r="Y131" s="175">
        <v>2.595612</v>
      </c>
      <c r="Z131" s="175">
        <v>2.595612</v>
      </c>
      <c r="AA131" s="175">
        <v>4.2993999999999997E-2</v>
      </c>
      <c r="AB131" s="175">
        <v>4.6197000000000002E-2</v>
      </c>
      <c r="AC131" s="175">
        <v>4.2423000000000002E-2</v>
      </c>
      <c r="AD131" s="175">
        <v>4.2839000000000002E-2</v>
      </c>
    </row>
    <row r="132" spans="1:30">
      <c r="A132" s="170" t="s">
        <v>503</v>
      </c>
      <c r="B132" s="170" t="s">
        <v>535</v>
      </c>
      <c r="C132" s="170" t="s">
        <v>702</v>
      </c>
      <c r="D132" s="170" t="s">
        <v>701</v>
      </c>
      <c r="E132" s="170" t="s">
        <v>491</v>
      </c>
      <c r="F132" s="170" t="s">
        <v>576</v>
      </c>
      <c r="G132" s="170" t="s">
        <v>498</v>
      </c>
      <c r="H132" s="170" t="s">
        <v>575</v>
      </c>
      <c r="I132" s="170" t="s">
        <v>39</v>
      </c>
      <c r="J132" s="170" t="s">
        <v>700</v>
      </c>
      <c r="K132" s="170" t="s">
        <v>511</v>
      </c>
      <c r="L132" s="170" t="s">
        <v>114</v>
      </c>
      <c r="M132" s="175">
        <v>3000000</v>
      </c>
      <c r="N132" s="175">
        <v>106.25</v>
      </c>
      <c r="O132" s="175">
        <v>1</v>
      </c>
      <c r="P132" s="175">
        <v>1</v>
      </c>
      <c r="Q132" s="393">
        <v>525447607.44999999</v>
      </c>
      <c r="R132" s="390">
        <v>6.1808000000000002E-3</v>
      </c>
      <c r="S132" s="175">
        <v>6.75</v>
      </c>
      <c r="T132" s="175">
        <v>1.052E-2</v>
      </c>
      <c r="U132" s="175">
        <v>5.2595000000000001</v>
      </c>
      <c r="V132" s="175">
        <v>2.8122999999999999E-2</v>
      </c>
      <c r="W132" s="175">
        <v>1539</v>
      </c>
      <c r="X132" s="175">
        <v>10.525615</v>
      </c>
      <c r="Y132" s="175">
        <v>1.446439</v>
      </c>
      <c r="Z132" s="175">
        <v>1.446439</v>
      </c>
      <c r="AA132" s="175">
        <v>1.0392999999999999E-2</v>
      </c>
      <c r="AB132" s="175">
        <v>3.2378999999999998E-2</v>
      </c>
      <c r="AC132" s="175">
        <v>1.0477999999999999E-2</v>
      </c>
      <c r="AD132" s="175">
        <v>1.0352E-2</v>
      </c>
    </row>
    <row r="133" spans="1:30">
      <c r="A133" s="170" t="s">
        <v>503</v>
      </c>
      <c r="B133" s="170" t="s">
        <v>535</v>
      </c>
      <c r="C133" s="170" t="s">
        <v>699</v>
      </c>
      <c r="D133" s="170" t="s">
        <v>698</v>
      </c>
      <c r="E133" s="170" t="s">
        <v>491</v>
      </c>
      <c r="F133" s="170" t="s">
        <v>514</v>
      </c>
      <c r="G133" s="170" t="s">
        <v>498</v>
      </c>
      <c r="H133" s="170" t="s">
        <v>697</v>
      </c>
      <c r="I133" s="170" t="s">
        <v>39</v>
      </c>
      <c r="J133" s="170" t="s">
        <v>696</v>
      </c>
      <c r="K133" s="170" t="s">
        <v>511</v>
      </c>
      <c r="L133" s="170" t="s">
        <v>112</v>
      </c>
      <c r="M133" s="175">
        <v>1834000</v>
      </c>
      <c r="N133" s="175">
        <v>104.541</v>
      </c>
      <c r="O133" s="175">
        <v>1</v>
      </c>
      <c r="P133" s="175">
        <v>1</v>
      </c>
      <c r="Q133" s="393">
        <v>525447607.44999999</v>
      </c>
      <c r="R133" s="390">
        <v>3.7578099999999999E-3</v>
      </c>
      <c r="S133" s="175">
        <v>7.25</v>
      </c>
      <c r="T133" s="175">
        <v>9.2949999999999994E-3</v>
      </c>
      <c r="U133" s="175">
        <v>6.1062000000000003</v>
      </c>
      <c r="V133" s="175">
        <v>2.1758E-2</v>
      </c>
      <c r="W133" s="175">
        <v>1490</v>
      </c>
      <c r="X133" s="175">
        <v>6.1956199999999999</v>
      </c>
      <c r="Y133" s="175">
        <v>1.3499920000000001</v>
      </c>
      <c r="Z133" s="175">
        <v>1.3499920000000001</v>
      </c>
      <c r="AA133" s="175">
        <v>9.1920000000000005E-3</v>
      </c>
      <c r="AB133" s="175">
        <v>2.2849000000000001E-2</v>
      </c>
      <c r="AC133" s="175">
        <v>9.2560000000000003E-3</v>
      </c>
      <c r="AD133" s="175">
        <v>9.1540000000000007E-3</v>
      </c>
    </row>
    <row r="134" spans="1:30">
      <c r="A134" s="170" t="s">
        <v>503</v>
      </c>
      <c r="B134" s="170" t="s">
        <v>535</v>
      </c>
      <c r="C134" s="170" t="s">
        <v>695</v>
      </c>
      <c r="D134" s="170" t="s">
        <v>694</v>
      </c>
      <c r="E134" s="170" t="s">
        <v>491</v>
      </c>
      <c r="F134" s="170" t="s">
        <v>576</v>
      </c>
      <c r="G134" s="170" t="s">
        <v>498</v>
      </c>
      <c r="H134" s="170" t="s">
        <v>588</v>
      </c>
      <c r="I134" s="170" t="s">
        <v>39</v>
      </c>
      <c r="J134" s="170" t="s">
        <v>693</v>
      </c>
      <c r="K134" s="170" t="s">
        <v>495</v>
      </c>
      <c r="L134" s="170" t="s">
        <v>111</v>
      </c>
      <c r="M134" s="175">
        <v>2994000</v>
      </c>
      <c r="N134" s="175">
        <v>104.291</v>
      </c>
      <c r="O134" s="175">
        <v>1</v>
      </c>
      <c r="P134" s="175">
        <v>1</v>
      </c>
      <c r="Q134" s="393">
        <v>525447607.44999999</v>
      </c>
      <c r="R134" s="390">
        <v>6.0787200000000001E-3</v>
      </c>
      <c r="S134" s="175">
        <v>6.25</v>
      </c>
      <c r="T134" s="175">
        <v>2.2537999999999999E-2</v>
      </c>
      <c r="U134" s="175">
        <v>5.5646000000000004</v>
      </c>
      <c r="V134" s="175">
        <v>3.1852999999999999E-2</v>
      </c>
      <c r="W134" s="175">
        <v>2238</v>
      </c>
      <c r="X134" s="175">
        <v>15.053464999999999</v>
      </c>
      <c r="Y134" s="175">
        <v>1.703838</v>
      </c>
      <c r="Z134" s="175">
        <v>1.703838</v>
      </c>
      <c r="AA134" s="175">
        <v>2.2145000000000001E-2</v>
      </c>
      <c r="AB134" s="175">
        <v>3.3702999999999997E-2</v>
      </c>
      <c r="AC134" s="175">
        <v>2.2456E-2</v>
      </c>
      <c r="AD134" s="175">
        <v>2.2065000000000001E-2</v>
      </c>
    </row>
    <row r="135" spans="1:30">
      <c r="A135" s="170" t="s">
        <v>503</v>
      </c>
      <c r="B135" s="170" t="s">
        <v>535</v>
      </c>
      <c r="C135" s="170" t="s">
        <v>692</v>
      </c>
      <c r="D135" s="170" t="s">
        <v>691</v>
      </c>
      <c r="E135" s="170" t="s">
        <v>491</v>
      </c>
      <c r="F135" s="170" t="s">
        <v>576</v>
      </c>
      <c r="G135" s="170" t="s">
        <v>498</v>
      </c>
      <c r="H135" s="170" t="s">
        <v>642</v>
      </c>
      <c r="I135" s="170" t="s">
        <v>39</v>
      </c>
      <c r="J135" s="170" t="s">
        <v>690</v>
      </c>
      <c r="K135" s="170" t="s">
        <v>495</v>
      </c>
      <c r="L135" s="170" t="s">
        <v>113</v>
      </c>
      <c r="M135" s="175">
        <v>3346000</v>
      </c>
      <c r="N135" s="175">
        <v>102.867</v>
      </c>
      <c r="O135" s="175">
        <v>1</v>
      </c>
      <c r="P135" s="175">
        <v>1</v>
      </c>
      <c r="Q135" s="393">
        <v>525447607.44999999</v>
      </c>
      <c r="R135" s="390">
        <v>6.6640299999999996E-3</v>
      </c>
      <c r="S135" s="175">
        <v>5.25</v>
      </c>
      <c r="T135" s="175">
        <v>2.7084E-2</v>
      </c>
      <c r="U135" s="175">
        <v>4.8468</v>
      </c>
      <c r="V135" s="175">
        <v>3.0988000000000002E-2</v>
      </c>
      <c r="W135" s="175">
        <v>2254</v>
      </c>
      <c r="X135" s="175">
        <v>16.620913999999999</v>
      </c>
      <c r="Y135" s="175">
        <v>1.4588289999999999</v>
      </c>
      <c r="Z135" s="175">
        <v>1.4588289999999999</v>
      </c>
      <c r="AA135" s="175">
        <v>2.6595000000000001E-2</v>
      </c>
      <c r="AB135" s="175">
        <v>3.2169000000000003E-2</v>
      </c>
      <c r="AC135" s="175">
        <v>2.6974999999999999E-2</v>
      </c>
      <c r="AD135" s="175">
        <v>2.6487E-2</v>
      </c>
    </row>
    <row r="136" spans="1:30">
      <c r="A136" s="170" t="s">
        <v>503</v>
      </c>
      <c r="B136" s="170" t="s">
        <v>535</v>
      </c>
      <c r="C136" s="170" t="s">
        <v>689</v>
      </c>
      <c r="D136" s="170" t="s">
        <v>688</v>
      </c>
      <c r="E136" s="170" t="s">
        <v>491</v>
      </c>
      <c r="F136" s="170" t="s">
        <v>576</v>
      </c>
      <c r="G136" s="170" t="s">
        <v>498</v>
      </c>
      <c r="H136" s="170" t="s">
        <v>508</v>
      </c>
      <c r="I136" s="170" t="s">
        <v>39</v>
      </c>
      <c r="J136" s="170" t="s">
        <v>625</v>
      </c>
      <c r="K136" s="170" t="s">
        <v>495</v>
      </c>
      <c r="L136" s="170" t="s">
        <v>110</v>
      </c>
      <c r="M136" s="175">
        <v>4368000</v>
      </c>
      <c r="N136" s="175">
        <v>102.09399999999999</v>
      </c>
      <c r="O136" s="175">
        <v>1</v>
      </c>
      <c r="P136" s="175">
        <v>1</v>
      </c>
      <c r="Q136" s="393">
        <v>525447607.44999999</v>
      </c>
      <c r="R136" s="390">
        <v>8.6768000000000001E-3</v>
      </c>
      <c r="S136" s="175">
        <v>6</v>
      </c>
      <c r="T136" s="175">
        <v>3.0034999999999999E-2</v>
      </c>
      <c r="U136" s="175">
        <v>5.7176999999999998</v>
      </c>
      <c r="V136" s="175">
        <v>4.7461999999999997E-2</v>
      </c>
      <c r="W136" s="175">
        <v>2055</v>
      </c>
      <c r="X136" s="175">
        <v>19.730373</v>
      </c>
      <c r="Y136" s="175">
        <v>2.6312229999999999</v>
      </c>
      <c r="Z136" s="175">
        <v>2.6312229999999999</v>
      </c>
      <c r="AA136" s="175">
        <v>2.9384E-2</v>
      </c>
      <c r="AB136" s="175">
        <v>4.9435E-2</v>
      </c>
      <c r="AC136" s="175">
        <v>2.9928E-2</v>
      </c>
      <c r="AD136" s="175">
        <v>2.928E-2</v>
      </c>
    </row>
    <row r="137" spans="1:30">
      <c r="A137" s="170" t="s">
        <v>503</v>
      </c>
      <c r="B137" s="170" t="s">
        <v>535</v>
      </c>
      <c r="C137" s="170" t="s">
        <v>687</v>
      </c>
      <c r="D137" s="170" t="s">
        <v>686</v>
      </c>
      <c r="E137" s="170" t="s">
        <v>491</v>
      </c>
      <c r="F137" s="170" t="s">
        <v>685</v>
      </c>
      <c r="G137" s="170" t="s">
        <v>498</v>
      </c>
      <c r="H137" s="170" t="s">
        <v>642</v>
      </c>
      <c r="I137" s="170" t="s">
        <v>39</v>
      </c>
      <c r="J137" s="170" t="s">
        <v>587</v>
      </c>
      <c r="K137" s="170" t="s">
        <v>586</v>
      </c>
      <c r="L137" s="170" t="s">
        <v>115</v>
      </c>
      <c r="M137" s="175">
        <v>2100000</v>
      </c>
      <c r="N137" s="175">
        <v>100.726</v>
      </c>
      <c r="O137" s="175">
        <v>1</v>
      </c>
      <c r="P137" s="175">
        <v>1</v>
      </c>
      <c r="Q137" s="393">
        <v>525447607.44999999</v>
      </c>
      <c r="R137" s="390">
        <v>4.1434999999999996E-3</v>
      </c>
      <c r="S137" s="175">
        <v>4.8499999999999996</v>
      </c>
      <c r="T137" s="175">
        <v>1.5388000000000001E-2</v>
      </c>
      <c r="U137" s="175">
        <v>5.2579000000000002</v>
      </c>
      <c r="V137" s="175">
        <v>1.9640000000000001E-2</v>
      </c>
      <c r="W137" s="175">
        <v>19847</v>
      </c>
      <c r="X137" s="175">
        <v>90.996870000000001</v>
      </c>
      <c r="Y137" s="175">
        <v>1.0465979999999999</v>
      </c>
      <c r="Z137" s="175">
        <v>1.0465979999999999</v>
      </c>
      <c r="AA137" s="175">
        <v>1.5551000000000001E-2</v>
      </c>
      <c r="AB137" s="175">
        <v>2.1708000000000002E-2</v>
      </c>
      <c r="AC137" s="175">
        <v>1.5332999999999999E-2</v>
      </c>
      <c r="AD137" s="175">
        <v>1.5495E-2</v>
      </c>
    </row>
    <row r="138" spans="1:30">
      <c r="A138" s="170" t="s">
        <v>503</v>
      </c>
      <c r="B138" s="170" t="s">
        <v>535</v>
      </c>
      <c r="C138" s="170" t="s">
        <v>684</v>
      </c>
      <c r="D138" s="170" t="s">
        <v>683</v>
      </c>
      <c r="E138" s="170" t="s">
        <v>491</v>
      </c>
      <c r="F138" s="170" t="s">
        <v>576</v>
      </c>
      <c r="G138" s="170" t="s">
        <v>498</v>
      </c>
      <c r="H138" s="170" t="s">
        <v>551</v>
      </c>
      <c r="I138" s="170" t="s">
        <v>39</v>
      </c>
      <c r="J138" s="170" t="s">
        <v>682</v>
      </c>
      <c r="K138" s="170" t="s">
        <v>511</v>
      </c>
      <c r="L138" s="170" t="s">
        <v>113</v>
      </c>
      <c r="M138" s="175">
        <v>1280000</v>
      </c>
      <c r="N138" s="175">
        <v>103.232</v>
      </c>
      <c r="O138" s="175">
        <v>1</v>
      </c>
      <c r="P138" s="175">
        <v>1</v>
      </c>
      <c r="Q138" s="393">
        <v>525447607.44999999</v>
      </c>
      <c r="R138" s="390">
        <v>2.5155099999999999E-3</v>
      </c>
      <c r="S138" s="175">
        <v>5.625</v>
      </c>
      <c r="T138" s="175">
        <v>5.4949999999999999E-3</v>
      </c>
      <c r="U138" s="175">
        <v>4.9657999999999998</v>
      </c>
      <c r="V138" s="175">
        <v>1.1344999999999999E-2</v>
      </c>
      <c r="W138" s="175">
        <v>1637</v>
      </c>
      <c r="X138" s="175">
        <v>4.5565810000000004</v>
      </c>
      <c r="Y138" s="175">
        <v>0.584789</v>
      </c>
      <c r="Z138" s="175">
        <v>0.584789</v>
      </c>
      <c r="AA138" s="175">
        <v>5.3889999999999997E-3</v>
      </c>
      <c r="AB138" s="175">
        <v>1.2789E-2</v>
      </c>
      <c r="AC138" s="175">
        <v>5.6259999999999999E-3</v>
      </c>
      <c r="AD138" s="175">
        <v>5.5180000000000003E-3</v>
      </c>
    </row>
    <row r="139" spans="1:30">
      <c r="A139" s="170" t="s">
        <v>503</v>
      </c>
      <c r="B139" s="170" t="s">
        <v>535</v>
      </c>
      <c r="C139" s="170" t="s">
        <v>681</v>
      </c>
      <c r="D139" s="170" t="s">
        <v>680</v>
      </c>
      <c r="E139" s="170" t="s">
        <v>491</v>
      </c>
      <c r="F139" s="170" t="s">
        <v>499</v>
      </c>
      <c r="G139" s="170" t="s">
        <v>498</v>
      </c>
      <c r="H139" s="170" t="s">
        <v>497</v>
      </c>
      <c r="I139" s="170" t="s">
        <v>39</v>
      </c>
      <c r="J139" s="170" t="s">
        <v>679</v>
      </c>
      <c r="K139" s="170" t="s">
        <v>495</v>
      </c>
      <c r="L139" s="170" t="s">
        <v>113</v>
      </c>
      <c r="M139" s="175">
        <v>4200000</v>
      </c>
      <c r="N139" s="175">
        <v>101.565</v>
      </c>
      <c r="O139" s="175">
        <v>1</v>
      </c>
      <c r="P139" s="175">
        <v>1</v>
      </c>
      <c r="Q139" s="393">
        <v>525447607.44999999</v>
      </c>
      <c r="R139" s="390">
        <v>8.2537200000000008E-3</v>
      </c>
      <c r="S139" s="175">
        <v>5</v>
      </c>
      <c r="T139" s="175">
        <v>2.8452000000000002E-2</v>
      </c>
      <c r="U139" s="175">
        <v>4.7640000000000002</v>
      </c>
      <c r="V139" s="175">
        <v>3.805E-2</v>
      </c>
      <c r="W139" s="175">
        <v>1888</v>
      </c>
      <c r="X139" s="175">
        <v>17.243113999999998</v>
      </c>
      <c r="Y139" s="175">
        <v>1.836786</v>
      </c>
      <c r="Z139" s="175">
        <v>1.836786</v>
      </c>
      <c r="AA139" s="175">
        <v>2.7996E-2</v>
      </c>
      <c r="AB139" s="175">
        <v>3.9232999999999997E-2</v>
      </c>
      <c r="AC139" s="175">
        <v>2.8389000000000001E-2</v>
      </c>
      <c r="AD139" s="175">
        <v>2.7934E-2</v>
      </c>
    </row>
    <row r="140" spans="1:30">
      <c r="A140" s="170" t="s">
        <v>503</v>
      </c>
      <c r="B140" s="170" t="s">
        <v>535</v>
      </c>
      <c r="C140" s="170" t="s">
        <v>678</v>
      </c>
      <c r="D140" s="170" t="s">
        <v>677</v>
      </c>
      <c r="E140" s="170" t="s">
        <v>491</v>
      </c>
      <c r="F140" s="170" t="s">
        <v>571</v>
      </c>
      <c r="G140" s="170" t="s">
        <v>498</v>
      </c>
      <c r="H140" s="170" t="s">
        <v>544</v>
      </c>
      <c r="I140" s="170" t="s">
        <v>39</v>
      </c>
      <c r="J140" s="170" t="s">
        <v>676</v>
      </c>
      <c r="K140" s="170" t="s">
        <v>495</v>
      </c>
      <c r="L140" s="170" t="s">
        <v>113</v>
      </c>
      <c r="M140" s="175">
        <v>4035000</v>
      </c>
      <c r="N140" s="175">
        <v>104.339</v>
      </c>
      <c r="O140" s="175">
        <v>1</v>
      </c>
      <c r="P140" s="175">
        <v>1</v>
      </c>
      <c r="Q140" s="393">
        <v>525447607.44999999</v>
      </c>
      <c r="R140" s="390">
        <v>8.0327599999999999E-3</v>
      </c>
      <c r="S140" s="175">
        <v>5.625</v>
      </c>
      <c r="T140" s="175">
        <v>3.1202000000000001E-2</v>
      </c>
      <c r="U140" s="175">
        <v>4.8956</v>
      </c>
      <c r="V140" s="175">
        <v>3.671E-2</v>
      </c>
      <c r="W140" s="175">
        <v>2361</v>
      </c>
      <c r="X140" s="175">
        <v>20.985776999999999</v>
      </c>
      <c r="Y140" s="175">
        <v>1.7310950000000001</v>
      </c>
      <c r="Z140" s="175">
        <v>1.7310950000000001</v>
      </c>
      <c r="AA140" s="175">
        <v>3.0519999999999999E-2</v>
      </c>
      <c r="AB140" s="175">
        <v>3.9202000000000001E-2</v>
      </c>
      <c r="AC140" s="175">
        <v>3.1104E-2</v>
      </c>
      <c r="AD140" s="175">
        <v>3.0424E-2</v>
      </c>
    </row>
    <row r="141" spans="1:30">
      <c r="A141" s="170" t="s">
        <v>503</v>
      </c>
      <c r="B141" s="170" t="s">
        <v>535</v>
      </c>
      <c r="C141" s="170" t="s">
        <v>675</v>
      </c>
      <c r="D141" s="170" t="s">
        <v>674</v>
      </c>
      <c r="E141" s="170" t="s">
        <v>491</v>
      </c>
      <c r="F141" s="170" t="s">
        <v>571</v>
      </c>
      <c r="G141" s="170" t="s">
        <v>498</v>
      </c>
      <c r="H141" s="170" t="s">
        <v>622</v>
      </c>
      <c r="I141" s="170" t="s">
        <v>39</v>
      </c>
      <c r="J141" s="170" t="s">
        <v>649</v>
      </c>
      <c r="K141" s="170" t="s">
        <v>511</v>
      </c>
      <c r="L141" s="170" t="s">
        <v>112</v>
      </c>
      <c r="M141" s="175">
        <v>1667000</v>
      </c>
      <c r="N141" s="175">
        <v>104.71299999999999</v>
      </c>
      <c r="O141" s="175">
        <v>1</v>
      </c>
      <c r="P141" s="175">
        <v>1</v>
      </c>
      <c r="Q141" s="393">
        <v>525447607.44999999</v>
      </c>
      <c r="R141" s="390">
        <v>3.3774500000000002E-3</v>
      </c>
      <c r="S141" s="175">
        <v>5.875</v>
      </c>
      <c r="T141" s="175">
        <v>7.5129999999999997E-3</v>
      </c>
      <c r="U141" s="175">
        <v>4.8494000000000002</v>
      </c>
      <c r="V141" s="175">
        <v>1.5096999999999999E-2</v>
      </c>
      <c r="W141" s="175">
        <v>1631</v>
      </c>
      <c r="X141" s="175">
        <v>6.095472</v>
      </c>
      <c r="Y141" s="175">
        <v>0.72156399999999998</v>
      </c>
      <c r="Z141" s="175">
        <v>0.72156399999999998</v>
      </c>
      <c r="AA141" s="175">
        <v>7.3699999999999998E-3</v>
      </c>
      <c r="AB141" s="175">
        <v>1.6319E-2</v>
      </c>
      <c r="AC141" s="175">
        <v>7.4859999999999996E-3</v>
      </c>
      <c r="AD141" s="175">
        <v>7.3429999999999997E-3</v>
      </c>
    </row>
    <row r="142" spans="1:30">
      <c r="A142" s="170" t="s">
        <v>503</v>
      </c>
      <c r="B142" s="170" t="s">
        <v>535</v>
      </c>
      <c r="C142" s="170" t="s">
        <v>673</v>
      </c>
      <c r="D142" s="170" t="s">
        <v>672</v>
      </c>
      <c r="E142" s="170" t="s">
        <v>491</v>
      </c>
      <c r="F142" s="170" t="s">
        <v>287</v>
      </c>
      <c r="G142" s="170" t="s">
        <v>498</v>
      </c>
      <c r="H142" s="170" t="s">
        <v>588</v>
      </c>
      <c r="I142" s="170" t="s">
        <v>39</v>
      </c>
      <c r="J142" s="170" t="s">
        <v>611</v>
      </c>
      <c r="K142" s="170" t="s">
        <v>511</v>
      </c>
      <c r="L142" s="170" t="s">
        <v>115</v>
      </c>
      <c r="M142" s="175">
        <v>3078000</v>
      </c>
      <c r="N142" s="175">
        <v>102.738</v>
      </c>
      <c r="O142" s="175">
        <v>1</v>
      </c>
      <c r="P142" s="175">
        <v>1</v>
      </c>
      <c r="Q142" s="393">
        <v>525447607.44999999</v>
      </c>
      <c r="R142" s="390">
        <v>6.1222899999999999E-3</v>
      </c>
      <c r="S142" s="175">
        <v>4.125</v>
      </c>
      <c r="T142" s="175">
        <v>1.9094E-2</v>
      </c>
      <c r="U142" s="175">
        <v>3.6070000000000002</v>
      </c>
      <c r="V142" s="175">
        <v>2.1243999999999999E-2</v>
      </c>
      <c r="W142" s="175">
        <v>1690</v>
      </c>
      <c r="X142" s="175">
        <v>11.448922</v>
      </c>
      <c r="Y142" s="175">
        <v>0.71336200000000005</v>
      </c>
      <c r="Z142" s="175">
        <v>0.71336200000000005</v>
      </c>
      <c r="AA142" s="175">
        <v>1.8776999999999999E-2</v>
      </c>
      <c r="AB142" s="175">
        <v>2.1984E-2</v>
      </c>
      <c r="AC142" s="175">
        <v>1.9008000000000001E-2</v>
      </c>
      <c r="AD142" s="175">
        <v>1.8693000000000001E-2</v>
      </c>
    </row>
    <row r="143" spans="1:30">
      <c r="A143" s="170" t="s">
        <v>503</v>
      </c>
      <c r="B143" s="170" t="s">
        <v>535</v>
      </c>
      <c r="C143" s="170" t="s">
        <v>671</v>
      </c>
      <c r="D143" s="170" t="s">
        <v>670</v>
      </c>
      <c r="E143" s="170" t="s">
        <v>491</v>
      </c>
      <c r="F143" s="170" t="s">
        <v>571</v>
      </c>
      <c r="G143" s="170" t="s">
        <v>498</v>
      </c>
      <c r="H143" s="170" t="s">
        <v>669</v>
      </c>
      <c r="I143" s="170" t="s">
        <v>39</v>
      </c>
      <c r="J143" s="170" t="s">
        <v>587</v>
      </c>
      <c r="K143" s="170" t="s">
        <v>586</v>
      </c>
      <c r="L143" s="170" t="s">
        <v>41</v>
      </c>
      <c r="M143" s="175">
        <v>2500000</v>
      </c>
      <c r="N143" s="175">
        <v>103.00700000000001</v>
      </c>
      <c r="O143" s="175">
        <v>1</v>
      </c>
      <c r="P143" s="175">
        <v>1</v>
      </c>
      <c r="Q143" s="393">
        <v>525447607.44999999</v>
      </c>
      <c r="R143" s="390">
        <v>5.0191100000000002E-3</v>
      </c>
      <c r="S143" s="175">
        <v>4.87</v>
      </c>
      <c r="T143" s="175">
        <v>1.915E-2</v>
      </c>
      <c r="U143" s="175">
        <v>5.1028000000000002</v>
      </c>
      <c r="V143" s="175">
        <v>2.0729000000000001E-2</v>
      </c>
      <c r="W143" s="175">
        <v>19847</v>
      </c>
      <c r="X143" s="175">
        <v>110.226479</v>
      </c>
      <c r="Y143" s="175">
        <v>0.97220700000000004</v>
      </c>
      <c r="Z143" s="175">
        <v>0.97220700000000004</v>
      </c>
      <c r="AA143" s="175">
        <v>1.9354E-2</v>
      </c>
      <c r="AB143" s="175">
        <v>2.5555999999999999E-2</v>
      </c>
      <c r="AC143" s="175">
        <v>1.9109000000000001E-2</v>
      </c>
      <c r="AD143" s="175">
        <v>1.9311999999999999E-2</v>
      </c>
    </row>
    <row r="144" spans="1:30">
      <c r="A144" s="170" t="s">
        <v>503</v>
      </c>
      <c r="B144" s="170" t="s">
        <v>535</v>
      </c>
      <c r="C144" s="170" t="s">
        <v>668</v>
      </c>
      <c r="D144" s="170" t="s">
        <v>667</v>
      </c>
      <c r="E144" s="170" t="s">
        <v>491</v>
      </c>
      <c r="F144" s="170" t="s">
        <v>547</v>
      </c>
      <c r="G144" s="170" t="s">
        <v>498</v>
      </c>
      <c r="H144" s="170" t="s">
        <v>508</v>
      </c>
      <c r="I144" s="170" t="s">
        <v>39</v>
      </c>
      <c r="J144" s="170" t="s">
        <v>666</v>
      </c>
      <c r="K144" s="170" t="s">
        <v>511</v>
      </c>
      <c r="L144" s="170" t="s">
        <v>113</v>
      </c>
      <c r="M144" s="175">
        <v>1368000</v>
      </c>
      <c r="N144" s="175">
        <v>104.97</v>
      </c>
      <c r="O144" s="175">
        <v>1</v>
      </c>
      <c r="P144" s="175">
        <v>1</v>
      </c>
      <c r="Q144" s="393">
        <v>525447607.44999999</v>
      </c>
      <c r="R144" s="390">
        <v>1.4746200000000001E-3</v>
      </c>
      <c r="S144" s="175">
        <v>5.75</v>
      </c>
      <c r="T144" s="175">
        <v>3.143E-3</v>
      </c>
      <c r="U144" s="175">
        <v>4.5978000000000003</v>
      </c>
      <c r="V144" s="175">
        <v>6.267E-3</v>
      </c>
      <c r="W144" s="175">
        <v>1569</v>
      </c>
      <c r="X144" s="175">
        <v>2.5601560000000001</v>
      </c>
      <c r="Y144" s="175">
        <v>0.280808</v>
      </c>
      <c r="Z144" s="175">
        <v>0.280808</v>
      </c>
      <c r="AA144" s="175">
        <v>3.0929999999999998E-3</v>
      </c>
      <c r="AB144" s="175">
        <v>6.7600000000000004E-3</v>
      </c>
      <c r="AC144" s="175">
        <v>3.1329999999999999E-3</v>
      </c>
      <c r="AD144" s="175">
        <v>3.0839999999999999E-3</v>
      </c>
    </row>
    <row r="145" spans="1:30">
      <c r="A145" s="170" t="s">
        <v>503</v>
      </c>
      <c r="B145" s="170" t="s">
        <v>535</v>
      </c>
      <c r="C145" s="170" t="s">
        <v>665</v>
      </c>
      <c r="D145" s="170" t="s">
        <v>664</v>
      </c>
      <c r="E145" s="170" t="s">
        <v>491</v>
      </c>
      <c r="F145" s="170" t="s">
        <v>571</v>
      </c>
      <c r="G145" s="170" t="s">
        <v>498</v>
      </c>
      <c r="H145" s="170" t="s">
        <v>551</v>
      </c>
      <c r="I145" s="170" t="s">
        <v>39</v>
      </c>
      <c r="J145" s="170" t="s">
        <v>663</v>
      </c>
      <c r="K145" s="170" t="s">
        <v>511</v>
      </c>
      <c r="L145" s="170" t="s">
        <v>111</v>
      </c>
      <c r="M145" s="175">
        <v>3090000</v>
      </c>
      <c r="N145" s="175">
        <v>105.289</v>
      </c>
      <c r="O145" s="175">
        <v>1</v>
      </c>
      <c r="P145" s="175">
        <v>1</v>
      </c>
      <c r="Q145" s="393">
        <v>525447607.44999999</v>
      </c>
      <c r="R145" s="390">
        <v>6.3325600000000001E-3</v>
      </c>
      <c r="S145" s="175">
        <v>7.125</v>
      </c>
      <c r="T145" s="175">
        <v>7.9310000000000005E-3</v>
      </c>
      <c r="U145" s="175">
        <v>5.9743000000000004</v>
      </c>
      <c r="V145" s="175">
        <v>3.4576000000000003E-2</v>
      </c>
      <c r="W145" s="175">
        <v>1706</v>
      </c>
      <c r="X145" s="175">
        <v>11.954254000000001</v>
      </c>
      <c r="Y145" s="175">
        <v>1.9973270000000001</v>
      </c>
      <c r="Z145" s="175">
        <v>1.9973270000000001</v>
      </c>
      <c r="AA145" s="175">
        <v>7.7019999999999996E-3</v>
      </c>
      <c r="AB145" s="175">
        <v>3.7725000000000002E-2</v>
      </c>
      <c r="AC145" s="175">
        <v>7.9089999999999994E-3</v>
      </c>
      <c r="AD145" s="175">
        <v>7.6800000000000002E-3</v>
      </c>
    </row>
    <row r="146" spans="1:30">
      <c r="A146" s="170" t="s">
        <v>503</v>
      </c>
      <c r="B146" s="170" t="s">
        <v>535</v>
      </c>
      <c r="C146" s="170" t="s">
        <v>662</v>
      </c>
      <c r="D146" s="170" t="s">
        <v>661</v>
      </c>
      <c r="E146" s="170" t="s">
        <v>491</v>
      </c>
      <c r="F146" s="170" t="s">
        <v>576</v>
      </c>
      <c r="G146" s="170" t="s">
        <v>498</v>
      </c>
      <c r="H146" s="170" t="s">
        <v>642</v>
      </c>
      <c r="I146" s="170" t="s">
        <v>39</v>
      </c>
      <c r="J146" s="170" t="s">
        <v>660</v>
      </c>
      <c r="K146" s="170" t="s">
        <v>511</v>
      </c>
      <c r="L146" s="170" t="s">
        <v>110</v>
      </c>
      <c r="M146" s="175">
        <v>5509000</v>
      </c>
      <c r="N146" s="175">
        <v>76.766999999999996</v>
      </c>
      <c r="O146" s="175">
        <v>1</v>
      </c>
      <c r="P146" s="175">
        <v>1</v>
      </c>
      <c r="Q146" s="393">
        <v>525447607.44999999</v>
      </c>
      <c r="R146" s="390">
        <v>8.1312799999999994E-3</v>
      </c>
      <c r="S146" s="175">
        <v>1.125</v>
      </c>
      <c r="T146" s="175">
        <v>3.1827000000000001E-2</v>
      </c>
      <c r="U146" s="175">
        <v>8.2141000000000002</v>
      </c>
      <c r="V146" s="175">
        <v>6.6757999999999998E-2</v>
      </c>
      <c r="W146" s="175">
        <v>1489</v>
      </c>
      <c r="X146" s="175">
        <v>13.397314</v>
      </c>
      <c r="Y146" s="175">
        <v>4.6742419999999996</v>
      </c>
      <c r="Z146" s="175">
        <v>4.6742419999999996</v>
      </c>
      <c r="AA146" s="175">
        <v>3.2163999999999998E-2</v>
      </c>
      <c r="AB146" s="175">
        <v>6.6374000000000002E-2</v>
      </c>
      <c r="AC146" s="175">
        <v>3.1628000000000003E-2</v>
      </c>
      <c r="AD146" s="175">
        <v>3.1962999999999998E-2</v>
      </c>
    </row>
    <row r="147" spans="1:30">
      <c r="A147" s="170" t="s">
        <v>503</v>
      </c>
      <c r="B147" s="170" t="s">
        <v>535</v>
      </c>
      <c r="C147" s="170" t="s">
        <v>659</v>
      </c>
      <c r="D147" s="170" t="s">
        <v>658</v>
      </c>
      <c r="E147" s="170" t="s">
        <v>491</v>
      </c>
      <c r="F147" s="170" t="s">
        <v>576</v>
      </c>
      <c r="G147" s="170" t="s">
        <v>498</v>
      </c>
      <c r="H147" s="170" t="s">
        <v>513</v>
      </c>
      <c r="I147" s="170" t="s">
        <v>39</v>
      </c>
      <c r="J147" s="170" t="s">
        <v>657</v>
      </c>
      <c r="K147" s="170" t="s">
        <v>586</v>
      </c>
      <c r="L147" s="170" t="s">
        <v>41</v>
      </c>
      <c r="M147" s="175">
        <v>1600000</v>
      </c>
      <c r="N147" s="175">
        <v>101.813</v>
      </c>
      <c r="O147" s="175">
        <v>1</v>
      </c>
      <c r="P147" s="175">
        <v>1</v>
      </c>
      <c r="Q147" s="393">
        <v>525447607.44999999</v>
      </c>
      <c r="R147" s="390">
        <v>3.20097E-3</v>
      </c>
      <c r="S147" s="175">
        <v>5.25</v>
      </c>
      <c r="T147" s="175">
        <v>1.4213E-2</v>
      </c>
      <c r="U147" s="175">
        <v>5.2640000000000002</v>
      </c>
      <c r="V147" s="175">
        <v>1.5748999999999999E-2</v>
      </c>
      <c r="W147" s="175">
        <v>10731</v>
      </c>
      <c r="X147" s="175">
        <v>38.008890999999998</v>
      </c>
      <c r="Y147" s="175">
        <v>0.83168600000000004</v>
      </c>
      <c r="Z147" s="175">
        <v>0.83168600000000004</v>
      </c>
      <c r="AA147" s="175">
        <v>1.4370000000000001E-2</v>
      </c>
      <c r="AB147" s="175">
        <v>1.6788999999999998E-2</v>
      </c>
      <c r="AC147" s="175">
        <v>1.4161999999999999E-2</v>
      </c>
      <c r="AD147" s="175">
        <v>1.4318000000000001E-2</v>
      </c>
    </row>
    <row r="148" spans="1:30">
      <c r="A148" s="170" t="s">
        <v>503</v>
      </c>
      <c r="B148" s="170" t="s">
        <v>535</v>
      </c>
      <c r="C148" s="170" t="s">
        <v>656</v>
      </c>
      <c r="D148" s="170" t="s">
        <v>655</v>
      </c>
      <c r="E148" s="170" t="s">
        <v>491</v>
      </c>
      <c r="F148" s="170" t="s">
        <v>287</v>
      </c>
      <c r="G148" s="170" t="s">
        <v>498</v>
      </c>
      <c r="H148" s="170" t="s">
        <v>508</v>
      </c>
      <c r="I148" s="170" t="s">
        <v>39</v>
      </c>
      <c r="J148" s="170" t="s">
        <v>618</v>
      </c>
      <c r="K148" s="170" t="s">
        <v>495</v>
      </c>
      <c r="L148" s="170" t="s">
        <v>110</v>
      </c>
      <c r="M148" s="175">
        <v>1378000</v>
      </c>
      <c r="N148" s="175">
        <v>101.352</v>
      </c>
      <c r="O148" s="175">
        <v>1</v>
      </c>
      <c r="P148" s="175">
        <v>1</v>
      </c>
      <c r="Q148" s="393">
        <v>525447607.44999999</v>
      </c>
      <c r="R148" s="390">
        <v>2.70828E-3</v>
      </c>
      <c r="S148" s="175">
        <v>5</v>
      </c>
      <c r="T148" s="175">
        <v>1.3169999999999999E-2</v>
      </c>
      <c r="U148" s="175">
        <v>4.8560999999999996</v>
      </c>
      <c r="V148" s="175">
        <v>1.3162E-2</v>
      </c>
      <c r="W148" s="175">
        <v>2070</v>
      </c>
      <c r="X148" s="175">
        <v>6.2033680000000002</v>
      </c>
      <c r="Y148" s="175">
        <v>0.67225299999999999</v>
      </c>
      <c r="Z148" s="175">
        <v>0.67225299999999999</v>
      </c>
      <c r="AA148" s="175">
        <v>1.3318999999999999E-2</v>
      </c>
      <c r="AB148" s="175">
        <v>1.3105E-2</v>
      </c>
      <c r="AC148" s="175">
        <v>1.3124E-2</v>
      </c>
      <c r="AD148" s="175">
        <v>1.3272000000000001E-2</v>
      </c>
    </row>
    <row r="149" spans="1:30">
      <c r="A149" s="170" t="s">
        <v>503</v>
      </c>
      <c r="B149" s="170" t="s">
        <v>535</v>
      </c>
      <c r="C149" s="170" t="s">
        <v>654</v>
      </c>
      <c r="D149" s="170" t="s">
        <v>653</v>
      </c>
      <c r="E149" s="170" t="s">
        <v>491</v>
      </c>
      <c r="F149" s="170" t="s">
        <v>499</v>
      </c>
      <c r="G149" s="170" t="s">
        <v>498</v>
      </c>
      <c r="H149" s="170" t="s">
        <v>588</v>
      </c>
      <c r="I149" s="170" t="s">
        <v>39</v>
      </c>
      <c r="J149" s="170" t="s">
        <v>649</v>
      </c>
      <c r="K149" s="170" t="s">
        <v>511</v>
      </c>
      <c r="L149" s="170" t="s">
        <v>110</v>
      </c>
      <c r="M149" s="175">
        <v>833000</v>
      </c>
      <c r="N149" s="175">
        <v>108.229</v>
      </c>
      <c r="O149" s="175">
        <v>1</v>
      </c>
      <c r="P149" s="175">
        <v>1</v>
      </c>
      <c r="Q149" s="393">
        <v>525447607.44999999</v>
      </c>
      <c r="R149" s="390">
        <v>1.7734999999999999E-3</v>
      </c>
      <c r="S149" s="175">
        <v>8.625</v>
      </c>
      <c r="T149" s="175">
        <v>3.3010000000000001E-3</v>
      </c>
      <c r="U149" s="175">
        <v>6.6553000000000004</v>
      </c>
      <c r="V149" s="175">
        <v>1.0375000000000001E-2</v>
      </c>
      <c r="W149" s="175">
        <v>1631</v>
      </c>
      <c r="X149" s="175">
        <v>3.200736</v>
      </c>
      <c r="Y149" s="175">
        <v>0.63695999999999997</v>
      </c>
      <c r="Z149" s="175">
        <v>0.63695999999999997</v>
      </c>
      <c r="AA149" s="175">
        <v>3.2499999999999999E-3</v>
      </c>
      <c r="AB149" s="175">
        <v>1.1769999999999999E-2</v>
      </c>
      <c r="AC149" s="175">
        <v>3.2919999999999998E-3</v>
      </c>
      <c r="AD149" s="175">
        <v>3.2399999999999998E-3</v>
      </c>
    </row>
    <row r="150" spans="1:30">
      <c r="A150" s="170" t="s">
        <v>503</v>
      </c>
      <c r="B150" s="170" t="s">
        <v>535</v>
      </c>
      <c r="C150" s="170" t="s">
        <v>652</v>
      </c>
      <c r="D150" s="170" t="s">
        <v>651</v>
      </c>
      <c r="E150" s="170" t="s">
        <v>491</v>
      </c>
      <c r="F150" s="170" t="s">
        <v>293</v>
      </c>
      <c r="G150" s="170" t="s">
        <v>498</v>
      </c>
      <c r="H150" s="170" t="s">
        <v>650</v>
      </c>
      <c r="I150" s="170" t="s">
        <v>39</v>
      </c>
      <c r="J150" s="170" t="s">
        <v>649</v>
      </c>
      <c r="K150" s="170" t="s">
        <v>511</v>
      </c>
      <c r="L150" s="170" t="s">
        <v>110</v>
      </c>
      <c r="M150" s="175">
        <v>2465000</v>
      </c>
      <c r="N150" s="175">
        <v>99.494</v>
      </c>
      <c r="O150" s="175">
        <v>1</v>
      </c>
      <c r="P150" s="175">
        <v>1</v>
      </c>
      <c r="Q150" s="393">
        <v>525447607.44999999</v>
      </c>
      <c r="R150" s="390">
        <v>4.6805199999999996E-3</v>
      </c>
      <c r="S150" s="175">
        <v>5.875</v>
      </c>
      <c r="T150" s="175">
        <v>1.7225000000000001E-2</v>
      </c>
      <c r="U150" s="175">
        <v>6.1070000000000002</v>
      </c>
      <c r="V150" s="175">
        <v>2.8597999999999998E-2</v>
      </c>
      <c r="W150" s="175">
        <v>1631</v>
      </c>
      <c r="X150" s="175">
        <v>8.4471790000000002</v>
      </c>
      <c r="Y150" s="175">
        <v>1.781982</v>
      </c>
      <c r="Z150" s="175">
        <v>1.781982</v>
      </c>
      <c r="AA150" s="175">
        <v>1.7246000000000001E-2</v>
      </c>
      <c r="AB150" s="175">
        <v>2.8473999999999999E-2</v>
      </c>
      <c r="AC150" s="175">
        <v>1.7159000000000001E-2</v>
      </c>
      <c r="AD150" s="175">
        <v>1.7180000000000001E-2</v>
      </c>
    </row>
    <row r="151" spans="1:30">
      <c r="A151" s="170" t="s">
        <v>503</v>
      </c>
      <c r="B151" s="170" t="s">
        <v>535</v>
      </c>
      <c r="C151" s="170" t="s">
        <v>648</v>
      </c>
      <c r="D151" s="170" t="s">
        <v>647</v>
      </c>
      <c r="E151" s="170" t="s">
        <v>491</v>
      </c>
      <c r="F151" s="170" t="s">
        <v>646</v>
      </c>
      <c r="G151" s="170" t="s">
        <v>646</v>
      </c>
      <c r="H151" s="170" t="s">
        <v>575</v>
      </c>
      <c r="I151" s="170" t="s">
        <v>39</v>
      </c>
      <c r="J151" s="170" t="s">
        <v>645</v>
      </c>
      <c r="K151" s="170" t="s">
        <v>511</v>
      </c>
      <c r="L151" s="170" t="s">
        <v>115</v>
      </c>
      <c r="M151" s="175">
        <v>1419000</v>
      </c>
      <c r="N151" s="175">
        <v>103.248</v>
      </c>
      <c r="O151" s="175">
        <v>1</v>
      </c>
      <c r="P151" s="175">
        <v>1</v>
      </c>
      <c r="Q151" s="393">
        <v>525447607.44999999</v>
      </c>
      <c r="R151" s="390">
        <v>2.8065299999999998E-3</v>
      </c>
      <c r="S151" s="175">
        <v>5.25</v>
      </c>
      <c r="T151" s="175">
        <v>9.8779999999999996E-3</v>
      </c>
      <c r="U151" s="175">
        <v>4.3818999999999999</v>
      </c>
      <c r="V151" s="175">
        <v>1.2208E-2</v>
      </c>
      <c r="W151" s="175">
        <v>1418</v>
      </c>
      <c r="X151" s="175">
        <v>4.4036140000000001</v>
      </c>
      <c r="Y151" s="175">
        <v>0.61421599999999998</v>
      </c>
      <c r="Z151" s="175">
        <v>0.61421599999999998</v>
      </c>
      <c r="AA151" s="175">
        <v>9.972E-3</v>
      </c>
      <c r="AB151" s="175">
        <v>1.2272E-2</v>
      </c>
      <c r="AC151" s="175">
        <v>9.8569999999999994E-3</v>
      </c>
      <c r="AD151" s="175">
        <v>9.9509999999999998E-3</v>
      </c>
    </row>
    <row r="152" spans="1:30">
      <c r="A152" s="170" t="s">
        <v>503</v>
      </c>
      <c r="B152" s="170" t="s">
        <v>535</v>
      </c>
      <c r="C152" s="170" t="s">
        <v>644</v>
      </c>
      <c r="D152" s="170" t="s">
        <v>643</v>
      </c>
      <c r="E152" s="170" t="s">
        <v>491</v>
      </c>
      <c r="F152" s="170" t="s">
        <v>297</v>
      </c>
      <c r="G152" s="170" t="s">
        <v>531</v>
      </c>
      <c r="H152" s="170" t="s">
        <v>642</v>
      </c>
      <c r="I152" s="170" t="s">
        <v>39</v>
      </c>
      <c r="J152" s="170" t="s">
        <v>641</v>
      </c>
      <c r="K152" s="170" t="s">
        <v>511</v>
      </c>
      <c r="L152" s="170" t="s">
        <v>113</v>
      </c>
      <c r="M152" s="175">
        <v>4184000</v>
      </c>
      <c r="N152" s="175">
        <v>99.956999999999994</v>
      </c>
      <c r="O152" s="175">
        <v>1</v>
      </c>
      <c r="P152" s="175">
        <v>1</v>
      </c>
      <c r="Q152" s="393">
        <v>525447607.44999999</v>
      </c>
      <c r="R152" s="390">
        <v>8.0638800000000007E-3</v>
      </c>
      <c r="S152" s="175">
        <v>3.875</v>
      </c>
      <c r="T152" s="175">
        <v>1.2279999999999999E-2</v>
      </c>
      <c r="U152" s="175">
        <v>3.9922</v>
      </c>
      <c r="V152" s="175">
        <v>3.2175000000000002E-2</v>
      </c>
      <c r="W152" s="175">
        <v>1140</v>
      </c>
      <c r="X152" s="175">
        <v>10.172150999999999</v>
      </c>
      <c r="Y152" s="175">
        <v>1.375464</v>
      </c>
      <c r="Z152" s="175">
        <v>1.375464</v>
      </c>
      <c r="AA152" s="175">
        <v>1.2074E-2</v>
      </c>
      <c r="AB152" s="175">
        <v>3.2106000000000003E-2</v>
      </c>
      <c r="AC152" s="175">
        <v>1.2246999999999999E-2</v>
      </c>
      <c r="AD152" s="175">
        <v>1.2041E-2</v>
      </c>
    </row>
    <row r="153" spans="1:30">
      <c r="A153" s="170" t="s">
        <v>503</v>
      </c>
      <c r="B153" s="170" t="s">
        <v>535</v>
      </c>
      <c r="C153" s="170" t="s">
        <v>640</v>
      </c>
      <c r="D153" s="170" t="s">
        <v>639</v>
      </c>
      <c r="E153" s="170" t="s">
        <v>491</v>
      </c>
      <c r="F153" s="170" t="s">
        <v>499</v>
      </c>
      <c r="G153" s="170" t="s">
        <v>498</v>
      </c>
      <c r="H153" s="170" t="s">
        <v>508</v>
      </c>
      <c r="I153" s="170" t="s">
        <v>39</v>
      </c>
      <c r="J153" s="170" t="s">
        <v>638</v>
      </c>
      <c r="K153" s="170" t="s">
        <v>511</v>
      </c>
      <c r="L153" s="170" t="s">
        <v>110</v>
      </c>
      <c r="M153" s="175">
        <v>1817000</v>
      </c>
      <c r="N153" s="175">
        <v>99.911000000000001</v>
      </c>
      <c r="O153" s="175">
        <v>1</v>
      </c>
      <c r="P153" s="175">
        <v>1</v>
      </c>
      <c r="Q153" s="393">
        <v>525447607.44999999</v>
      </c>
      <c r="R153" s="390">
        <v>3.6209100000000002E-3</v>
      </c>
      <c r="S153" s="175">
        <v>9</v>
      </c>
      <c r="T153" s="175">
        <v>1.1917000000000001E-2</v>
      </c>
      <c r="U153" s="175">
        <v>9.4004999999999992</v>
      </c>
      <c r="V153" s="175">
        <v>3.4036999999999998E-2</v>
      </c>
      <c r="W153" s="175">
        <v>1478</v>
      </c>
      <c r="X153" s="175">
        <v>5.9218349999999997</v>
      </c>
      <c r="Y153" s="175">
        <v>2.4773290000000001</v>
      </c>
      <c r="Z153" s="175">
        <v>2.4773290000000001</v>
      </c>
      <c r="AA153" s="175">
        <v>1.2041E-2</v>
      </c>
      <c r="AB153" s="175">
        <v>3.3850999999999999E-2</v>
      </c>
      <c r="AC153" s="175">
        <v>1.1851E-2</v>
      </c>
      <c r="AD153" s="175">
        <v>1.1975E-2</v>
      </c>
    </row>
    <row r="154" spans="1:30">
      <c r="A154" s="170" t="s">
        <v>503</v>
      </c>
      <c r="B154" s="170" t="s">
        <v>535</v>
      </c>
      <c r="C154" s="170" t="s">
        <v>637</v>
      </c>
      <c r="D154" s="170" t="s">
        <v>636</v>
      </c>
      <c r="E154" s="170" t="s">
        <v>491</v>
      </c>
      <c r="F154" s="170" t="s">
        <v>635</v>
      </c>
      <c r="G154" s="170" t="s">
        <v>498</v>
      </c>
      <c r="H154" s="170" t="s">
        <v>634</v>
      </c>
      <c r="I154" s="170" t="s">
        <v>39</v>
      </c>
      <c r="J154" s="170" t="s">
        <v>631</v>
      </c>
      <c r="K154" s="170" t="s">
        <v>495</v>
      </c>
      <c r="L154" s="170" t="s">
        <v>114</v>
      </c>
      <c r="M154" s="175">
        <v>1878000</v>
      </c>
      <c r="N154" s="175">
        <v>98.003</v>
      </c>
      <c r="O154" s="175">
        <v>1</v>
      </c>
      <c r="P154" s="175">
        <v>1</v>
      </c>
      <c r="Q154" s="393">
        <v>525447607.44999999</v>
      </c>
      <c r="R154" s="390">
        <v>3.5755399999999999E-3</v>
      </c>
      <c r="S154" s="175">
        <v>4.5</v>
      </c>
      <c r="T154" s="175">
        <v>1.8245000000000001E-2</v>
      </c>
      <c r="U154" s="175">
        <v>5.0088999999999997</v>
      </c>
      <c r="V154" s="175">
        <v>1.7912999999999998E-2</v>
      </c>
      <c r="W154" s="175">
        <v>2390</v>
      </c>
      <c r="X154" s="175">
        <v>9.4559239999999996</v>
      </c>
      <c r="Y154" s="175">
        <v>0.88177000000000005</v>
      </c>
      <c r="Z154" s="175">
        <v>0.88177000000000005</v>
      </c>
      <c r="AA154" s="175">
        <v>1.8155000000000001E-2</v>
      </c>
      <c r="AB154" s="175">
        <v>1.7826999999999999E-2</v>
      </c>
      <c r="AC154" s="175">
        <v>1.8161E-2</v>
      </c>
      <c r="AD154" s="175">
        <v>1.8071E-2</v>
      </c>
    </row>
    <row r="155" spans="1:30">
      <c r="A155" s="170" t="s">
        <v>503</v>
      </c>
      <c r="B155" s="170" t="s">
        <v>535</v>
      </c>
      <c r="C155" s="170" t="s">
        <v>633</v>
      </c>
      <c r="D155" s="170" t="s">
        <v>632</v>
      </c>
      <c r="E155" s="170" t="s">
        <v>491</v>
      </c>
      <c r="F155" s="170" t="s">
        <v>287</v>
      </c>
      <c r="G155" s="170" t="s">
        <v>498</v>
      </c>
      <c r="H155" s="170" t="s">
        <v>612</v>
      </c>
      <c r="I155" s="170" t="s">
        <v>39</v>
      </c>
      <c r="J155" s="170" t="s">
        <v>631</v>
      </c>
      <c r="K155" s="170" t="s">
        <v>495</v>
      </c>
      <c r="L155" s="170" t="s">
        <v>115</v>
      </c>
      <c r="M155" s="175">
        <v>1732000</v>
      </c>
      <c r="N155" s="175">
        <v>103.102</v>
      </c>
      <c r="O155" s="175">
        <v>1</v>
      </c>
      <c r="P155" s="175">
        <v>1</v>
      </c>
      <c r="Q155" s="393">
        <v>525447607.44999999</v>
      </c>
      <c r="R155" s="390">
        <v>3.4302099999999999E-3</v>
      </c>
      <c r="S155" s="175">
        <v>4.5</v>
      </c>
      <c r="T155" s="175">
        <v>1.4926E-2</v>
      </c>
      <c r="U155" s="175">
        <v>4.0731999999999999</v>
      </c>
      <c r="V155" s="175">
        <v>1.3344E-2</v>
      </c>
      <c r="W155" s="175">
        <v>2390</v>
      </c>
      <c r="X155" s="175">
        <v>9.0715819999999994</v>
      </c>
      <c r="Y155" s="175">
        <v>0.47876800000000003</v>
      </c>
      <c r="Z155" s="175">
        <v>0.47876800000000003</v>
      </c>
      <c r="AA155" s="175">
        <v>1.4638999999999999E-2</v>
      </c>
      <c r="AB155" s="175">
        <v>1.3916E-2</v>
      </c>
      <c r="AC155" s="175">
        <v>1.4866000000000001E-2</v>
      </c>
      <c r="AD155" s="175">
        <v>1.4581E-2</v>
      </c>
    </row>
    <row r="156" spans="1:30">
      <c r="A156" s="170" t="s">
        <v>503</v>
      </c>
      <c r="B156" s="170" t="s">
        <v>535</v>
      </c>
      <c r="C156" s="170" t="s">
        <v>630</v>
      </c>
      <c r="D156" s="170" t="s">
        <v>629</v>
      </c>
      <c r="E156" s="170" t="s">
        <v>491</v>
      </c>
      <c r="F156" s="170" t="s">
        <v>532</v>
      </c>
      <c r="G156" s="170" t="s">
        <v>531</v>
      </c>
      <c r="H156" s="170" t="s">
        <v>513</v>
      </c>
      <c r="I156" s="170" t="s">
        <v>39</v>
      </c>
      <c r="J156" s="170" t="s">
        <v>628</v>
      </c>
      <c r="K156" s="170" t="s">
        <v>528</v>
      </c>
      <c r="L156" s="170" t="s">
        <v>113</v>
      </c>
      <c r="M156" s="175">
        <v>3268000</v>
      </c>
      <c r="N156" s="175">
        <v>100.55200000000001</v>
      </c>
      <c r="O156" s="175">
        <v>1</v>
      </c>
      <c r="P156" s="175">
        <v>1</v>
      </c>
      <c r="Q156" s="393">
        <v>525447607.44999999</v>
      </c>
      <c r="R156" s="390">
        <v>6.3769899999999999E-3</v>
      </c>
      <c r="S156" s="175">
        <v>4.375</v>
      </c>
      <c r="T156" s="175">
        <v>3.3241E-2</v>
      </c>
      <c r="U156" s="175">
        <v>4.3459000000000003</v>
      </c>
      <c r="V156" s="175">
        <v>2.7612000000000001E-2</v>
      </c>
      <c r="W156" s="175">
        <v>2786</v>
      </c>
      <c r="X156" s="175">
        <v>19.658982999999999</v>
      </c>
      <c r="Y156" s="175">
        <v>1.052529</v>
      </c>
      <c r="Z156" s="175">
        <v>1.052529</v>
      </c>
      <c r="AA156" s="175">
        <v>3.2635999999999998E-2</v>
      </c>
      <c r="AB156" s="175">
        <v>2.7619999999999999E-2</v>
      </c>
      <c r="AC156" s="175">
        <v>3.3127999999999998E-2</v>
      </c>
      <c r="AD156" s="175">
        <v>3.2525999999999999E-2</v>
      </c>
    </row>
    <row r="157" spans="1:30">
      <c r="A157" s="170" t="s">
        <v>503</v>
      </c>
      <c r="B157" s="170" t="s">
        <v>535</v>
      </c>
      <c r="C157" s="170" t="s">
        <v>627</v>
      </c>
      <c r="D157" s="170" t="s">
        <v>626</v>
      </c>
      <c r="E157" s="170" t="s">
        <v>491</v>
      </c>
      <c r="F157" s="170" t="s">
        <v>532</v>
      </c>
      <c r="G157" s="170" t="s">
        <v>531</v>
      </c>
      <c r="H157" s="170" t="s">
        <v>612</v>
      </c>
      <c r="I157" s="170" t="s">
        <v>39</v>
      </c>
      <c r="J157" s="170" t="s">
        <v>625</v>
      </c>
      <c r="K157" s="170" t="s">
        <v>495</v>
      </c>
      <c r="L157" s="170" t="s">
        <v>115</v>
      </c>
      <c r="M157" s="175">
        <v>1594000</v>
      </c>
      <c r="N157" s="175">
        <v>99.549000000000007</v>
      </c>
      <c r="O157" s="175">
        <v>1</v>
      </c>
      <c r="P157" s="175">
        <v>1</v>
      </c>
      <c r="Q157" s="393">
        <v>525447607.44999999</v>
      </c>
      <c r="R157" s="390">
        <v>3.0912800000000001E-3</v>
      </c>
      <c r="S157" s="175">
        <v>5</v>
      </c>
      <c r="T157" s="175">
        <v>1.3396999999999999E-2</v>
      </c>
      <c r="U157" s="175">
        <v>5.1355000000000004</v>
      </c>
      <c r="V157" s="175">
        <v>1.5889E-2</v>
      </c>
      <c r="W157" s="175">
        <v>2055</v>
      </c>
      <c r="X157" s="175">
        <v>7.0293270000000003</v>
      </c>
      <c r="Y157" s="175">
        <v>0.84429600000000005</v>
      </c>
      <c r="Z157" s="175">
        <v>0.84429600000000005</v>
      </c>
      <c r="AA157" s="175">
        <v>1.3336000000000001E-2</v>
      </c>
      <c r="AB157" s="175">
        <v>1.5841999999999998E-2</v>
      </c>
      <c r="AC157" s="175">
        <v>1.3369000000000001E-2</v>
      </c>
      <c r="AD157" s="175">
        <v>1.3308E-2</v>
      </c>
    </row>
    <row r="158" spans="1:30">
      <c r="A158" s="170" t="s">
        <v>503</v>
      </c>
      <c r="B158" s="170" t="s">
        <v>535</v>
      </c>
      <c r="C158" s="170" t="s">
        <v>624</v>
      </c>
      <c r="D158" s="170" t="s">
        <v>623</v>
      </c>
      <c r="E158" s="170" t="s">
        <v>491</v>
      </c>
      <c r="F158" s="170" t="s">
        <v>576</v>
      </c>
      <c r="G158" s="170" t="s">
        <v>498</v>
      </c>
      <c r="H158" s="170" t="s">
        <v>622</v>
      </c>
      <c r="I158" s="170" t="s">
        <v>39</v>
      </c>
      <c r="J158" s="170" t="s">
        <v>621</v>
      </c>
      <c r="K158" s="170" t="s">
        <v>495</v>
      </c>
      <c r="L158" s="170" t="s">
        <v>114</v>
      </c>
      <c r="M158" s="175">
        <v>3300000</v>
      </c>
      <c r="N158" s="175">
        <v>102.148</v>
      </c>
      <c r="O158" s="175">
        <v>1</v>
      </c>
      <c r="P158" s="175">
        <v>1</v>
      </c>
      <c r="Q158" s="393">
        <v>525447607.44999999</v>
      </c>
      <c r="R158" s="390">
        <v>6.5723600000000002E-3</v>
      </c>
      <c r="S158" s="175">
        <v>5.5</v>
      </c>
      <c r="T158" s="175">
        <v>3.0915000000000002E-2</v>
      </c>
      <c r="U158" s="175">
        <v>5.1161000000000003</v>
      </c>
      <c r="V158" s="175">
        <v>3.3519E-2</v>
      </c>
      <c r="W158" s="175">
        <v>2029</v>
      </c>
      <c r="X158" s="175">
        <v>14.755952000000001</v>
      </c>
      <c r="Y158" s="175">
        <v>1.7894330000000001</v>
      </c>
      <c r="Z158" s="175">
        <v>1.7894330000000001</v>
      </c>
      <c r="AA158" s="175">
        <v>3.1199999999999999E-2</v>
      </c>
      <c r="AB158" s="175">
        <v>3.3508000000000003E-2</v>
      </c>
      <c r="AC158" s="175">
        <v>3.0807000000000001E-2</v>
      </c>
      <c r="AD158" s="175">
        <v>3.1092000000000002E-2</v>
      </c>
    </row>
    <row r="159" spans="1:30">
      <c r="A159" s="170" t="s">
        <v>503</v>
      </c>
      <c r="B159" s="170" t="s">
        <v>535</v>
      </c>
      <c r="C159" s="170" t="s">
        <v>620</v>
      </c>
      <c r="D159" s="170" t="s">
        <v>619</v>
      </c>
      <c r="E159" s="170" t="s">
        <v>491</v>
      </c>
      <c r="F159" s="170" t="s">
        <v>600</v>
      </c>
      <c r="G159" s="170" t="s">
        <v>498</v>
      </c>
      <c r="H159" s="170" t="s">
        <v>567</v>
      </c>
      <c r="I159" s="170" t="s">
        <v>39</v>
      </c>
      <c r="J159" s="170" t="s">
        <v>618</v>
      </c>
      <c r="K159" s="170" t="s">
        <v>495</v>
      </c>
      <c r="L159" s="170" t="s">
        <v>111</v>
      </c>
      <c r="M159" s="175">
        <v>4209000</v>
      </c>
      <c r="N159" s="175">
        <v>101.88200000000001</v>
      </c>
      <c r="O159" s="175">
        <v>1</v>
      </c>
      <c r="P159" s="175">
        <v>1</v>
      </c>
      <c r="Q159" s="393">
        <v>525447607.44999999</v>
      </c>
      <c r="R159" s="390">
        <v>8.2901199999999998E-3</v>
      </c>
      <c r="S159" s="175">
        <v>5</v>
      </c>
      <c r="T159" s="175">
        <v>3.1487000000000001E-2</v>
      </c>
      <c r="U159" s="175">
        <v>4.7420999999999998</v>
      </c>
      <c r="V159" s="175">
        <v>3.8052000000000002E-2</v>
      </c>
      <c r="W159" s="175">
        <v>2070</v>
      </c>
      <c r="X159" s="175">
        <v>18.988705</v>
      </c>
      <c r="Y159" s="175">
        <v>1.788653</v>
      </c>
      <c r="Z159" s="175">
        <v>1.788653</v>
      </c>
      <c r="AA159" s="175">
        <v>3.0931E-2</v>
      </c>
      <c r="AB159" s="175">
        <v>3.9188000000000001E-2</v>
      </c>
      <c r="AC159" s="175">
        <v>3.1386999999999998E-2</v>
      </c>
      <c r="AD159" s="175">
        <v>3.0832999999999999E-2</v>
      </c>
    </row>
    <row r="160" spans="1:30">
      <c r="A160" s="170" t="s">
        <v>503</v>
      </c>
      <c r="B160" s="170" t="s">
        <v>535</v>
      </c>
      <c r="C160" s="170" t="s">
        <v>617</v>
      </c>
      <c r="D160" s="170" t="s">
        <v>616</v>
      </c>
      <c r="E160" s="170" t="s">
        <v>491</v>
      </c>
      <c r="F160" s="170" t="s">
        <v>287</v>
      </c>
      <c r="G160" s="170" t="s">
        <v>498</v>
      </c>
      <c r="H160" s="170" t="s">
        <v>524</v>
      </c>
      <c r="I160" s="170" t="s">
        <v>39</v>
      </c>
      <c r="J160" s="170" t="s">
        <v>615</v>
      </c>
      <c r="K160" s="170" t="s">
        <v>495</v>
      </c>
      <c r="L160" s="170" t="s">
        <v>112</v>
      </c>
      <c r="M160" s="175">
        <v>3903000</v>
      </c>
      <c r="N160" s="175">
        <v>103.66500000000001</v>
      </c>
      <c r="O160" s="175">
        <v>1</v>
      </c>
      <c r="P160" s="175">
        <v>1</v>
      </c>
      <c r="Q160" s="393">
        <v>525447607.44999999</v>
      </c>
      <c r="R160" s="390">
        <v>7.8567900000000006E-3</v>
      </c>
      <c r="S160" s="175">
        <v>5.5</v>
      </c>
      <c r="T160" s="175">
        <v>3.3543999999999997E-2</v>
      </c>
      <c r="U160" s="175">
        <v>4.9669999999999996</v>
      </c>
      <c r="V160" s="175">
        <v>3.7319999999999999E-2</v>
      </c>
      <c r="W160" s="175">
        <v>2406</v>
      </c>
      <c r="X160" s="175">
        <v>20.917269999999998</v>
      </c>
      <c r="Y160" s="175">
        <v>1.767347</v>
      </c>
      <c r="Z160" s="175">
        <v>1.767347</v>
      </c>
      <c r="AA160" s="175">
        <v>3.2934999999999999E-2</v>
      </c>
      <c r="AB160" s="175">
        <v>3.8896E-2</v>
      </c>
      <c r="AC160" s="175">
        <v>3.3433999999999998E-2</v>
      </c>
      <c r="AD160" s="175">
        <v>3.2826000000000001E-2</v>
      </c>
    </row>
    <row r="161" spans="1:30">
      <c r="A161" s="170" t="s">
        <v>503</v>
      </c>
      <c r="B161" s="170" t="s">
        <v>535</v>
      </c>
      <c r="C161" s="170" t="s">
        <v>614</v>
      </c>
      <c r="D161" s="170" t="s">
        <v>613</v>
      </c>
      <c r="E161" s="170" t="s">
        <v>491</v>
      </c>
      <c r="F161" s="170" t="s">
        <v>499</v>
      </c>
      <c r="G161" s="170" t="s">
        <v>498</v>
      </c>
      <c r="H161" s="170" t="s">
        <v>612</v>
      </c>
      <c r="I161" s="170" t="s">
        <v>39</v>
      </c>
      <c r="J161" s="170" t="s">
        <v>611</v>
      </c>
      <c r="K161" s="170" t="s">
        <v>511</v>
      </c>
      <c r="L161" s="170" t="s">
        <v>111</v>
      </c>
      <c r="M161" s="175">
        <v>3160000</v>
      </c>
      <c r="N161" s="175">
        <v>102.934</v>
      </c>
      <c r="O161" s="175">
        <v>1</v>
      </c>
      <c r="P161" s="175">
        <v>1</v>
      </c>
      <c r="Q161" s="393">
        <v>525447607.44999999</v>
      </c>
      <c r="R161" s="390">
        <v>6.3277300000000002E-3</v>
      </c>
      <c r="S161" s="175">
        <v>5.75</v>
      </c>
      <c r="T161" s="175">
        <v>2.0916000000000001E-2</v>
      </c>
      <c r="U161" s="175">
        <v>5.2225000000000001</v>
      </c>
      <c r="V161" s="175">
        <v>3.2145E-2</v>
      </c>
      <c r="W161" s="175">
        <v>1690</v>
      </c>
      <c r="X161" s="175">
        <v>11.833100999999999</v>
      </c>
      <c r="Y161" s="175">
        <v>1.747052</v>
      </c>
      <c r="Z161" s="175">
        <v>1.747052</v>
      </c>
      <c r="AA161" s="175">
        <v>2.0712000000000001E-2</v>
      </c>
      <c r="AB161" s="175">
        <v>3.2885999999999999E-2</v>
      </c>
      <c r="AC161" s="175">
        <v>2.0815E-2</v>
      </c>
      <c r="AD161" s="175">
        <v>2.0611999999999998E-2</v>
      </c>
    </row>
    <row r="162" spans="1:30">
      <c r="A162" s="170" t="s">
        <v>503</v>
      </c>
      <c r="B162" s="170" t="s">
        <v>535</v>
      </c>
      <c r="C162" s="170" t="s">
        <v>610</v>
      </c>
      <c r="D162" s="170" t="s">
        <v>609</v>
      </c>
      <c r="E162" s="170" t="s">
        <v>491</v>
      </c>
      <c r="F162" s="170" t="s">
        <v>293</v>
      </c>
      <c r="G162" s="170" t="s">
        <v>498</v>
      </c>
      <c r="H162" s="170" t="s">
        <v>551</v>
      </c>
      <c r="I162" s="170" t="s">
        <v>39</v>
      </c>
      <c r="J162" s="170" t="s">
        <v>608</v>
      </c>
      <c r="K162" s="170" t="s">
        <v>495</v>
      </c>
      <c r="L162" s="170" t="s">
        <v>111</v>
      </c>
      <c r="M162" s="175">
        <v>2472000</v>
      </c>
      <c r="N162" s="175">
        <v>101.857</v>
      </c>
      <c r="O162" s="175">
        <v>1</v>
      </c>
      <c r="P162" s="175">
        <v>1</v>
      </c>
      <c r="Q162" s="393">
        <v>525447607.44999999</v>
      </c>
      <c r="R162" s="390">
        <v>4.9236499999999999E-3</v>
      </c>
      <c r="S162" s="175">
        <v>7</v>
      </c>
      <c r="T162" s="175">
        <v>2.0737999999999999E-2</v>
      </c>
      <c r="U162" s="175">
        <v>6.7206999999999999</v>
      </c>
      <c r="V162" s="175">
        <v>3.2544999999999998E-2</v>
      </c>
      <c r="W162" s="175">
        <v>2250</v>
      </c>
      <c r="X162" s="175">
        <v>12.258402999999999</v>
      </c>
      <c r="Y162" s="175">
        <v>2.041169</v>
      </c>
      <c r="Z162" s="175">
        <v>2.041169</v>
      </c>
      <c r="AA162" s="175">
        <v>2.0532000000000002E-2</v>
      </c>
      <c r="AB162" s="175">
        <v>3.2938000000000002E-2</v>
      </c>
      <c r="AC162" s="175">
        <v>2.0643000000000002E-2</v>
      </c>
      <c r="AD162" s="175">
        <v>2.0438000000000001E-2</v>
      </c>
    </row>
    <row r="163" spans="1:30">
      <c r="A163" s="170" t="s">
        <v>503</v>
      </c>
      <c r="B163" s="170" t="s">
        <v>535</v>
      </c>
      <c r="C163" s="170" t="s">
        <v>607</v>
      </c>
      <c r="D163" s="170" t="s">
        <v>606</v>
      </c>
      <c r="E163" s="170" t="s">
        <v>491</v>
      </c>
      <c r="F163" s="170" t="s">
        <v>499</v>
      </c>
      <c r="G163" s="170" t="s">
        <v>498</v>
      </c>
      <c r="H163" s="170" t="s">
        <v>513</v>
      </c>
      <c r="I163" s="170" t="s">
        <v>39</v>
      </c>
      <c r="J163" s="170" t="s">
        <v>605</v>
      </c>
      <c r="K163" s="170" t="s">
        <v>495</v>
      </c>
      <c r="L163" s="170" t="s">
        <v>114</v>
      </c>
      <c r="M163" s="175">
        <v>2170000</v>
      </c>
      <c r="N163" s="175">
        <v>102.482</v>
      </c>
      <c r="O163" s="175">
        <v>1</v>
      </c>
      <c r="P163" s="175">
        <v>1</v>
      </c>
      <c r="Q163" s="393">
        <v>525447607.44999999</v>
      </c>
      <c r="R163" s="390">
        <v>4.2932700000000001E-3</v>
      </c>
      <c r="S163" s="175">
        <v>4.875</v>
      </c>
      <c r="T163" s="175">
        <v>1.5322000000000001E-2</v>
      </c>
      <c r="U163" s="175">
        <v>4.4607999999999999</v>
      </c>
      <c r="V163" s="175">
        <v>1.8332000000000001E-2</v>
      </c>
      <c r="W163" s="175">
        <v>1981</v>
      </c>
      <c r="X163" s="175">
        <v>9.4110250000000004</v>
      </c>
      <c r="Y163" s="175">
        <v>0.81012799999999996</v>
      </c>
      <c r="Z163" s="175">
        <v>0.81012799999999996</v>
      </c>
      <c r="AA163" s="175">
        <v>1.5056E-2</v>
      </c>
      <c r="AB163" s="175">
        <v>1.9105E-2</v>
      </c>
      <c r="AC163" s="175">
        <v>1.5284000000000001E-2</v>
      </c>
      <c r="AD163" s="175">
        <v>1.5018999999999999E-2</v>
      </c>
    </row>
    <row r="164" spans="1:30">
      <c r="A164" s="170" t="s">
        <v>503</v>
      </c>
      <c r="B164" s="170" t="s">
        <v>535</v>
      </c>
      <c r="C164" s="170" t="s">
        <v>604</v>
      </c>
      <c r="D164" s="170" t="s">
        <v>603</v>
      </c>
      <c r="E164" s="170" t="s">
        <v>491</v>
      </c>
      <c r="F164" s="170" t="s">
        <v>293</v>
      </c>
      <c r="G164" s="170" t="s">
        <v>498</v>
      </c>
      <c r="H164" s="170" t="s">
        <v>513</v>
      </c>
      <c r="I164" s="170" t="s">
        <v>39</v>
      </c>
      <c r="J164" s="170" t="s">
        <v>593</v>
      </c>
      <c r="K164" s="170" t="s">
        <v>511</v>
      </c>
      <c r="L164" s="170" t="s">
        <v>109</v>
      </c>
      <c r="M164" s="175">
        <v>788235</v>
      </c>
      <c r="N164" s="175">
        <v>105.941</v>
      </c>
      <c r="O164" s="175">
        <v>1</v>
      </c>
      <c r="P164" s="175">
        <v>1</v>
      </c>
      <c r="Q164" s="393">
        <v>525447607.44999999</v>
      </c>
      <c r="R164" s="390">
        <v>1.6293E-3</v>
      </c>
      <c r="S164" s="175">
        <v>8.625</v>
      </c>
      <c r="T164" s="175">
        <v>1.1000000000000001E-3</v>
      </c>
      <c r="U164" s="175">
        <v>7.2154999999999996</v>
      </c>
      <c r="V164" s="175">
        <v>5.5880000000000001E-3</v>
      </c>
      <c r="W164" s="175">
        <v>1720</v>
      </c>
      <c r="X164" s="175">
        <v>3.10094</v>
      </c>
      <c r="Y164" s="175">
        <v>0.24122099999999999</v>
      </c>
      <c r="Z164" s="175">
        <v>0.24122099999999999</v>
      </c>
      <c r="AA164" s="175">
        <v>1.111E-3</v>
      </c>
      <c r="AB164" s="175">
        <v>1.1705999999999999E-2</v>
      </c>
      <c r="AC164" s="175">
        <v>1.096E-3</v>
      </c>
      <c r="AD164" s="175">
        <v>1.106E-3</v>
      </c>
    </row>
    <row r="165" spans="1:30">
      <c r="A165" s="170" t="s">
        <v>503</v>
      </c>
      <c r="B165" s="170" t="s">
        <v>535</v>
      </c>
      <c r="C165" s="170" t="s">
        <v>602</v>
      </c>
      <c r="D165" s="170" t="s">
        <v>601</v>
      </c>
      <c r="E165" s="170" t="s">
        <v>491</v>
      </c>
      <c r="F165" s="170" t="s">
        <v>600</v>
      </c>
      <c r="G165" s="170" t="s">
        <v>498</v>
      </c>
      <c r="H165" s="170" t="s">
        <v>513</v>
      </c>
      <c r="I165" s="170" t="s">
        <v>39</v>
      </c>
      <c r="J165" s="170" t="s">
        <v>599</v>
      </c>
      <c r="K165" s="170" t="s">
        <v>495</v>
      </c>
      <c r="L165" s="170" t="s">
        <v>115</v>
      </c>
      <c r="M165" s="175">
        <v>2213000</v>
      </c>
      <c r="N165" s="175">
        <v>100.066</v>
      </c>
      <c r="O165" s="175">
        <v>1</v>
      </c>
      <c r="P165" s="175">
        <v>1</v>
      </c>
      <c r="Q165" s="393">
        <v>525447607.44999999</v>
      </c>
      <c r="R165" s="390">
        <v>4.2556099999999999E-3</v>
      </c>
      <c r="S165" s="175">
        <v>4</v>
      </c>
      <c r="T165" s="175">
        <v>1.7815000000000001E-2</v>
      </c>
      <c r="U165" s="175">
        <v>4.0689000000000002</v>
      </c>
      <c r="V165" s="175">
        <v>1.7319999999999999E-2</v>
      </c>
      <c r="W165" s="175">
        <v>2105</v>
      </c>
      <c r="X165" s="175">
        <v>9.9123750000000008</v>
      </c>
      <c r="Y165" s="175">
        <v>0.66510400000000003</v>
      </c>
      <c r="Z165" s="175">
        <v>0.66510400000000003</v>
      </c>
      <c r="AA165" s="175">
        <v>1.755E-2</v>
      </c>
      <c r="AB165" s="175">
        <v>1.7284000000000001E-2</v>
      </c>
      <c r="AC165" s="175">
        <v>1.7783E-2</v>
      </c>
      <c r="AD165" s="175">
        <v>1.7517999999999999E-2</v>
      </c>
    </row>
    <row r="166" spans="1:30">
      <c r="A166" s="170" t="s">
        <v>503</v>
      </c>
      <c r="B166" s="170" t="s">
        <v>535</v>
      </c>
      <c r="C166" s="170" t="s">
        <v>598</v>
      </c>
      <c r="D166" s="170" t="s">
        <v>597</v>
      </c>
      <c r="E166" s="170" t="s">
        <v>491</v>
      </c>
      <c r="F166" s="170" t="s">
        <v>293</v>
      </c>
      <c r="G166" s="170" t="s">
        <v>498</v>
      </c>
      <c r="H166" s="170" t="s">
        <v>588</v>
      </c>
      <c r="I166" s="170" t="s">
        <v>39</v>
      </c>
      <c r="J166" s="170" t="s">
        <v>596</v>
      </c>
      <c r="K166" s="170" t="s">
        <v>511</v>
      </c>
      <c r="L166" s="170" t="s">
        <v>113</v>
      </c>
      <c r="M166" s="175">
        <v>2571000</v>
      </c>
      <c r="N166" s="175">
        <v>103.545</v>
      </c>
      <c r="O166" s="175">
        <v>1</v>
      </c>
      <c r="P166" s="175">
        <v>1</v>
      </c>
      <c r="Q166" s="393">
        <v>525447607.44999999</v>
      </c>
      <c r="R166" s="390">
        <v>5.1402100000000001E-3</v>
      </c>
      <c r="S166" s="175">
        <v>5.375</v>
      </c>
      <c r="T166" s="175">
        <v>1.6400999999999999E-2</v>
      </c>
      <c r="U166" s="175">
        <v>4.6136999999999997</v>
      </c>
      <c r="V166" s="175">
        <v>2.2771E-2</v>
      </c>
      <c r="W166" s="175">
        <v>1726</v>
      </c>
      <c r="X166" s="175">
        <v>9.8171610000000005</v>
      </c>
      <c r="Y166" s="175">
        <v>1.117194</v>
      </c>
      <c r="Z166" s="175">
        <v>1.117194</v>
      </c>
      <c r="AA166" s="175">
        <v>1.618E-2</v>
      </c>
      <c r="AB166" s="175">
        <v>2.3642E-2</v>
      </c>
      <c r="AC166" s="175">
        <v>1.6351000000000001E-2</v>
      </c>
      <c r="AD166" s="175">
        <v>1.6131E-2</v>
      </c>
    </row>
    <row r="167" spans="1:30">
      <c r="A167" s="170" t="s">
        <v>503</v>
      </c>
      <c r="B167" s="170" t="s">
        <v>535</v>
      </c>
      <c r="C167" s="170" t="s">
        <v>595</v>
      </c>
      <c r="D167" s="170" t="s">
        <v>594</v>
      </c>
      <c r="E167" s="170" t="s">
        <v>491</v>
      </c>
      <c r="F167" s="170" t="s">
        <v>293</v>
      </c>
      <c r="G167" s="170" t="s">
        <v>498</v>
      </c>
      <c r="H167" s="170" t="s">
        <v>508</v>
      </c>
      <c r="I167" s="170" t="s">
        <v>39</v>
      </c>
      <c r="J167" s="170" t="s">
        <v>593</v>
      </c>
      <c r="K167" s="170" t="s">
        <v>511</v>
      </c>
      <c r="L167" s="170" t="s">
        <v>113</v>
      </c>
      <c r="M167" s="175">
        <v>1923000</v>
      </c>
      <c r="N167" s="175">
        <v>102.82899999999999</v>
      </c>
      <c r="O167" s="175">
        <v>1</v>
      </c>
      <c r="P167" s="175">
        <v>1</v>
      </c>
      <c r="Q167" s="393">
        <v>525447607.44999999</v>
      </c>
      <c r="R167" s="390">
        <v>3.8230999999999998E-3</v>
      </c>
      <c r="S167" s="175">
        <v>5.5</v>
      </c>
      <c r="T167" s="175">
        <v>1.2951000000000001E-2</v>
      </c>
      <c r="U167" s="175">
        <v>4.9283999999999999</v>
      </c>
      <c r="V167" s="175">
        <v>1.8312999999999999E-2</v>
      </c>
      <c r="W167" s="175">
        <v>1720</v>
      </c>
      <c r="X167" s="175">
        <v>7.2762539999999998</v>
      </c>
      <c r="Y167" s="175">
        <v>0.96902699999999997</v>
      </c>
      <c r="Z167" s="175">
        <v>0.96902699999999997</v>
      </c>
      <c r="AA167" s="175">
        <v>1.2824E-2</v>
      </c>
      <c r="AB167" s="175">
        <v>1.8761E-2</v>
      </c>
      <c r="AC167" s="175">
        <v>1.2895E-2</v>
      </c>
      <c r="AD167" s="175">
        <v>1.2769000000000001E-2</v>
      </c>
    </row>
    <row r="168" spans="1:30">
      <c r="A168" s="170" t="s">
        <v>503</v>
      </c>
      <c r="B168" s="170" t="s">
        <v>535</v>
      </c>
      <c r="C168" s="170" t="s">
        <v>592</v>
      </c>
      <c r="D168" s="170" t="s">
        <v>591</v>
      </c>
      <c r="E168" s="170" t="s">
        <v>491</v>
      </c>
      <c r="F168" s="170" t="s">
        <v>287</v>
      </c>
      <c r="G168" s="170" t="s">
        <v>498</v>
      </c>
      <c r="H168" s="170" t="s">
        <v>508</v>
      </c>
      <c r="I168" s="170" t="s">
        <v>39</v>
      </c>
      <c r="J168" s="170" t="s">
        <v>517</v>
      </c>
      <c r="K168" s="170" t="s">
        <v>495</v>
      </c>
      <c r="L168" s="170" t="s">
        <v>111</v>
      </c>
      <c r="M168" s="175">
        <v>2046000</v>
      </c>
      <c r="N168" s="175">
        <v>101.86799999999999</v>
      </c>
      <c r="O168" s="175">
        <v>1</v>
      </c>
      <c r="P168" s="175">
        <v>1</v>
      </c>
      <c r="Q168" s="393">
        <v>525447607.44999999</v>
      </c>
      <c r="R168" s="390">
        <v>4.0308100000000001E-3</v>
      </c>
      <c r="S168" s="175">
        <v>5.5</v>
      </c>
      <c r="T168" s="175">
        <v>1.5668000000000001E-2</v>
      </c>
      <c r="U168" s="175">
        <v>5.2412999999999998</v>
      </c>
      <c r="V168" s="175">
        <v>2.0476999999999999E-2</v>
      </c>
      <c r="W168" s="175">
        <v>2116</v>
      </c>
      <c r="X168" s="175">
        <v>9.4378220000000006</v>
      </c>
      <c r="Y168" s="175">
        <v>1.0586850000000001</v>
      </c>
      <c r="Z168" s="175">
        <v>1.0586850000000001</v>
      </c>
      <c r="AA168" s="175">
        <v>1.5405E-2</v>
      </c>
      <c r="AB168" s="175">
        <v>2.1073999999999999E-2</v>
      </c>
      <c r="AC168" s="175">
        <v>1.5629000000000001E-2</v>
      </c>
      <c r="AD168" s="175">
        <v>1.5365999999999999E-2</v>
      </c>
    </row>
    <row r="169" spans="1:30">
      <c r="A169" s="170" t="s">
        <v>503</v>
      </c>
      <c r="B169" s="170" t="s">
        <v>535</v>
      </c>
      <c r="C169" s="170" t="s">
        <v>590</v>
      </c>
      <c r="D169" s="170" t="s">
        <v>589</v>
      </c>
      <c r="E169" s="170" t="s">
        <v>491</v>
      </c>
      <c r="F169" s="170" t="s">
        <v>499</v>
      </c>
      <c r="G169" s="170" t="s">
        <v>498</v>
      </c>
      <c r="H169" s="170" t="s">
        <v>588</v>
      </c>
      <c r="I169" s="170" t="s">
        <v>39</v>
      </c>
      <c r="J169" s="170" t="s">
        <v>587</v>
      </c>
      <c r="K169" s="170" t="s">
        <v>586</v>
      </c>
      <c r="L169" s="170" t="s">
        <v>41</v>
      </c>
      <c r="M169" s="175">
        <v>1360000</v>
      </c>
      <c r="N169" s="175">
        <v>103.871</v>
      </c>
      <c r="O169" s="175">
        <v>1</v>
      </c>
      <c r="P169" s="175">
        <v>1</v>
      </c>
      <c r="Q169" s="393">
        <v>525447607.44999999</v>
      </c>
      <c r="R169" s="390">
        <v>2.6929300000000001E-3</v>
      </c>
      <c r="S169" s="175">
        <v>5.25</v>
      </c>
      <c r="T169" s="175">
        <v>1.1469E-2</v>
      </c>
      <c r="U169" s="175">
        <v>5.4164000000000003</v>
      </c>
      <c r="V169" s="175">
        <v>1.1875999999999999E-2</v>
      </c>
      <c r="W169" s="175">
        <v>19847</v>
      </c>
      <c r="X169" s="175">
        <v>59.140337000000002</v>
      </c>
      <c r="Y169" s="175">
        <v>0.57797100000000001</v>
      </c>
      <c r="Z169" s="175">
        <v>0.57797100000000001</v>
      </c>
      <c r="AA169" s="175">
        <v>1.1594E-2</v>
      </c>
      <c r="AB169" s="175">
        <v>1.4540000000000001E-2</v>
      </c>
      <c r="AC169" s="175">
        <v>1.1433E-2</v>
      </c>
      <c r="AD169" s="175">
        <v>1.1557E-2</v>
      </c>
    </row>
    <row r="170" spans="1:30">
      <c r="A170" s="170" t="s">
        <v>503</v>
      </c>
      <c r="B170" s="170" t="s">
        <v>535</v>
      </c>
      <c r="C170" s="170" t="s">
        <v>585</v>
      </c>
      <c r="D170" s="170" t="s">
        <v>584</v>
      </c>
      <c r="E170" s="170" t="s">
        <v>491</v>
      </c>
      <c r="F170" s="170" t="s">
        <v>583</v>
      </c>
      <c r="G170" s="170" t="s">
        <v>582</v>
      </c>
      <c r="H170" s="170" t="s">
        <v>551</v>
      </c>
      <c r="I170" s="170" t="s">
        <v>39</v>
      </c>
      <c r="J170" s="170" t="s">
        <v>581</v>
      </c>
      <c r="K170" s="170" t="s">
        <v>495</v>
      </c>
      <c r="L170" s="170" t="s">
        <v>114</v>
      </c>
      <c r="M170" s="175">
        <v>1974000</v>
      </c>
      <c r="N170" s="175">
        <v>100.851</v>
      </c>
      <c r="O170" s="175">
        <v>1</v>
      </c>
      <c r="P170" s="175">
        <v>1</v>
      </c>
      <c r="Q170" s="393">
        <v>525447607.44999999</v>
      </c>
      <c r="R170" s="390">
        <v>3.8292299999999999E-3</v>
      </c>
      <c r="S170" s="175">
        <v>4.125</v>
      </c>
      <c r="T170" s="175">
        <v>1.9404999999999999E-2</v>
      </c>
      <c r="U170" s="175">
        <v>4.0034000000000001</v>
      </c>
      <c r="V170" s="175">
        <v>1.5317000000000001E-2</v>
      </c>
      <c r="W170" s="175">
        <v>2102</v>
      </c>
      <c r="X170" s="175">
        <v>8.9065259999999995</v>
      </c>
      <c r="Y170" s="175">
        <v>0.62821899999999997</v>
      </c>
      <c r="Z170" s="175">
        <v>0.62821899999999997</v>
      </c>
      <c r="AA170" s="175">
        <v>1.958E-2</v>
      </c>
      <c r="AB170" s="175">
        <v>1.5296000000000001E-2</v>
      </c>
      <c r="AC170" s="175">
        <v>1.9362000000000001E-2</v>
      </c>
      <c r="AD170" s="175">
        <v>1.9536000000000001E-2</v>
      </c>
    </row>
    <row r="171" spans="1:30">
      <c r="A171" s="170" t="s">
        <v>503</v>
      </c>
      <c r="B171" s="170" t="s">
        <v>535</v>
      </c>
      <c r="C171" s="170" t="s">
        <v>580</v>
      </c>
      <c r="D171" s="170" t="s">
        <v>579</v>
      </c>
      <c r="E171" s="170" t="s">
        <v>491</v>
      </c>
      <c r="F171" s="170" t="s">
        <v>297</v>
      </c>
      <c r="G171" s="170" t="s">
        <v>531</v>
      </c>
      <c r="H171" s="170" t="s">
        <v>575</v>
      </c>
      <c r="I171" s="170" t="s">
        <v>39</v>
      </c>
      <c r="J171" s="170" t="s">
        <v>517</v>
      </c>
      <c r="K171" s="170" t="s">
        <v>495</v>
      </c>
      <c r="L171" s="170" t="s">
        <v>112</v>
      </c>
      <c r="M171" s="175">
        <v>1936000</v>
      </c>
      <c r="N171" s="175">
        <v>101.533</v>
      </c>
      <c r="O171" s="175">
        <v>1</v>
      </c>
      <c r="P171" s="175">
        <v>1</v>
      </c>
      <c r="Q171" s="393">
        <v>525447607.44999999</v>
      </c>
      <c r="R171" s="390">
        <v>3.7769399999999999E-3</v>
      </c>
      <c r="S171" s="175">
        <v>4.75</v>
      </c>
      <c r="T171" s="175">
        <v>1.5157E-2</v>
      </c>
      <c r="U171" s="175">
        <v>4.5187999999999997</v>
      </c>
      <c r="V171" s="175">
        <v>1.6656000000000001E-2</v>
      </c>
      <c r="W171" s="175">
        <v>2116</v>
      </c>
      <c r="X171" s="175">
        <v>8.8434000000000008</v>
      </c>
      <c r="Y171" s="175">
        <v>0.75517800000000002</v>
      </c>
      <c r="Z171" s="175">
        <v>0.75517800000000002</v>
      </c>
      <c r="AA171" s="175">
        <v>1.4923000000000001E-2</v>
      </c>
      <c r="AB171" s="175">
        <v>1.7009E-2</v>
      </c>
      <c r="AC171" s="175">
        <v>1.5105E-2</v>
      </c>
      <c r="AD171" s="175">
        <v>1.4872E-2</v>
      </c>
    </row>
    <row r="172" spans="1:30">
      <c r="A172" s="170" t="s">
        <v>503</v>
      </c>
      <c r="B172" s="170" t="s">
        <v>535</v>
      </c>
      <c r="C172" s="170" t="s">
        <v>578</v>
      </c>
      <c r="D172" s="170" t="s">
        <v>577</v>
      </c>
      <c r="E172" s="170" t="s">
        <v>491</v>
      </c>
      <c r="F172" s="170" t="s">
        <v>576</v>
      </c>
      <c r="G172" s="170" t="s">
        <v>498</v>
      </c>
      <c r="H172" s="170" t="s">
        <v>575</v>
      </c>
      <c r="I172" s="170" t="s">
        <v>39</v>
      </c>
      <c r="J172" s="170" t="s">
        <v>574</v>
      </c>
      <c r="K172" s="170" t="s">
        <v>511</v>
      </c>
      <c r="L172" s="170" t="s">
        <v>114</v>
      </c>
      <c r="M172" s="175">
        <v>7900000</v>
      </c>
      <c r="N172" s="175">
        <v>102.366</v>
      </c>
      <c r="O172" s="175">
        <v>1</v>
      </c>
      <c r="P172" s="175">
        <v>1</v>
      </c>
      <c r="Q172" s="393">
        <v>525447607.44999999</v>
      </c>
      <c r="R172" s="390">
        <v>1.5626959999999999E-2</v>
      </c>
      <c r="S172" s="175">
        <v>7</v>
      </c>
      <c r="T172" s="175">
        <v>6.3316999999999998E-2</v>
      </c>
      <c r="U172" s="175">
        <v>6.4781000000000004</v>
      </c>
      <c r="V172" s="175">
        <v>0.10079399999999999</v>
      </c>
      <c r="W172" s="175">
        <v>1748</v>
      </c>
      <c r="X172" s="175">
        <v>30.225954999999999</v>
      </c>
      <c r="Y172" s="175">
        <v>6.3745640000000003</v>
      </c>
      <c r="Z172" s="175">
        <v>6.3745640000000003</v>
      </c>
      <c r="AA172" s="175">
        <v>6.3854999999999995E-2</v>
      </c>
      <c r="AB172" s="175">
        <v>0.100914</v>
      </c>
      <c r="AC172" s="175">
        <v>6.3117000000000006E-2</v>
      </c>
      <c r="AD172" s="175">
        <v>6.3653000000000001E-2</v>
      </c>
    </row>
    <row r="173" spans="1:30">
      <c r="A173" s="170" t="s">
        <v>503</v>
      </c>
      <c r="B173" s="170" t="s">
        <v>535</v>
      </c>
      <c r="C173" s="170" t="s">
        <v>573</v>
      </c>
      <c r="D173" s="170" t="s">
        <v>572</v>
      </c>
      <c r="E173" s="170" t="s">
        <v>491</v>
      </c>
      <c r="F173" s="170" t="s">
        <v>571</v>
      </c>
      <c r="G173" s="170" t="s">
        <v>498</v>
      </c>
      <c r="H173" s="170" t="s">
        <v>513</v>
      </c>
      <c r="I173" s="170" t="s">
        <v>39</v>
      </c>
      <c r="J173" s="170" t="s">
        <v>570</v>
      </c>
      <c r="K173" s="170" t="s">
        <v>495</v>
      </c>
      <c r="L173" s="170" t="s">
        <v>111</v>
      </c>
      <c r="M173" s="175">
        <v>2026000</v>
      </c>
      <c r="N173" s="175">
        <v>101.614</v>
      </c>
      <c r="O173" s="175">
        <v>1</v>
      </c>
      <c r="P173" s="175">
        <v>1</v>
      </c>
      <c r="Q173" s="393">
        <v>525447607.44999999</v>
      </c>
      <c r="R173" s="390">
        <v>3.9519300000000002E-3</v>
      </c>
      <c r="S173" s="175">
        <v>4.875</v>
      </c>
      <c r="T173" s="175">
        <v>1.5543E-2</v>
      </c>
      <c r="U173" s="175">
        <v>4.6189</v>
      </c>
      <c r="V173" s="175">
        <v>1.7942E-2</v>
      </c>
      <c r="W173" s="175">
        <v>1949</v>
      </c>
      <c r="X173" s="175">
        <v>8.5228579999999994</v>
      </c>
      <c r="Y173" s="175">
        <v>0.84129399999999999</v>
      </c>
      <c r="Z173" s="175">
        <v>0.84129399999999999</v>
      </c>
      <c r="AA173" s="175">
        <v>1.5353E-2</v>
      </c>
      <c r="AB173" s="175">
        <v>1.8183000000000001E-2</v>
      </c>
      <c r="AC173" s="175">
        <v>1.5481999999999999E-2</v>
      </c>
      <c r="AD173" s="175">
        <v>1.5292999999999999E-2</v>
      </c>
    </row>
    <row r="174" spans="1:30">
      <c r="A174" s="170" t="s">
        <v>503</v>
      </c>
      <c r="B174" s="170" t="s">
        <v>535</v>
      </c>
      <c r="C174" s="170" t="s">
        <v>569</v>
      </c>
      <c r="D174" s="170" t="s">
        <v>568</v>
      </c>
      <c r="E174" s="170" t="s">
        <v>491</v>
      </c>
      <c r="F174" s="170" t="s">
        <v>293</v>
      </c>
      <c r="G174" s="170" t="s">
        <v>498</v>
      </c>
      <c r="H174" s="170" t="s">
        <v>567</v>
      </c>
      <c r="I174" s="170" t="s">
        <v>39</v>
      </c>
      <c r="J174" s="170" t="s">
        <v>566</v>
      </c>
      <c r="K174" s="170" t="s">
        <v>528</v>
      </c>
      <c r="L174" s="170" t="s">
        <v>41</v>
      </c>
      <c r="M174" s="175">
        <v>1419000</v>
      </c>
      <c r="N174" s="175">
        <v>103.005</v>
      </c>
      <c r="O174" s="175">
        <v>1</v>
      </c>
      <c r="P174" s="175">
        <v>1</v>
      </c>
      <c r="Q174" s="393">
        <v>525447607.44999999</v>
      </c>
      <c r="R174" s="390">
        <v>2.8069499999999999E-3</v>
      </c>
      <c r="S174" s="175">
        <v>4.875</v>
      </c>
      <c r="T174" s="175">
        <v>1.8227E-2</v>
      </c>
      <c r="U174" s="175">
        <v>4.4489999999999998</v>
      </c>
      <c r="V174" s="175">
        <v>1.2435E-2</v>
      </c>
      <c r="W174" s="175">
        <v>2856</v>
      </c>
      <c r="X174" s="175">
        <v>8.8706949999999996</v>
      </c>
      <c r="Y174" s="175">
        <v>0.52604399999999996</v>
      </c>
      <c r="Z174" s="175">
        <v>0.52604399999999996</v>
      </c>
      <c r="AA174" s="175">
        <v>1.8421E-2</v>
      </c>
      <c r="AB174" s="175">
        <v>1.2458E-2</v>
      </c>
      <c r="AC174" s="175">
        <v>1.8183000000000001E-2</v>
      </c>
      <c r="AD174" s="175">
        <v>1.8376E-2</v>
      </c>
    </row>
    <row r="175" spans="1:30">
      <c r="A175" s="170" t="s">
        <v>503</v>
      </c>
      <c r="B175" s="170" t="s">
        <v>535</v>
      </c>
      <c r="C175" s="170" t="s">
        <v>565</v>
      </c>
      <c r="D175" s="170" t="s">
        <v>564</v>
      </c>
      <c r="E175" s="170" t="s">
        <v>491</v>
      </c>
      <c r="F175" s="170" t="s">
        <v>293</v>
      </c>
      <c r="G175" s="170" t="s">
        <v>498</v>
      </c>
      <c r="H175" s="170" t="s">
        <v>544</v>
      </c>
      <c r="I175" s="170" t="s">
        <v>39</v>
      </c>
      <c r="J175" s="170" t="s">
        <v>563</v>
      </c>
      <c r="K175" s="170" t="s">
        <v>495</v>
      </c>
      <c r="L175" s="170" t="s">
        <v>113</v>
      </c>
      <c r="M175" s="175">
        <v>920000</v>
      </c>
      <c r="N175" s="175">
        <v>101.73</v>
      </c>
      <c r="O175" s="175">
        <v>1</v>
      </c>
      <c r="P175" s="175">
        <v>1</v>
      </c>
      <c r="Q175" s="393">
        <v>525447607.44999999</v>
      </c>
      <c r="R175" s="390">
        <v>1.7975000000000001E-3</v>
      </c>
      <c r="S175" s="175">
        <v>5.5</v>
      </c>
      <c r="T175" s="175">
        <v>8.7150000000000005E-3</v>
      </c>
      <c r="U175" s="175">
        <v>5.2531999999999996</v>
      </c>
      <c r="V175" s="175">
        <v>9.2929999999999992E-3</v>
      </c>
      <c r="W175" s="175">
        <v>2498</v>
      </c>
      <c r="X175" s="175">
        <v>4.9684900000000001</v>
      </c>
      <c r="Y175" s="175">
        <v>0.47742299999999999</v>
      </c>
      <c r="Z175" s="175">
        <v>0.47742299999999999</v>
      </c>
      <c r="AA175" s="175">
        <v>8.6140000000000001E-3</v>
      </c>
      <c r="AB175" s="175">
        <v>9.4129999999999995E-3</v>
      </c>
      <c r="AC175" s="175">
        <v>8.6879999999999995E-3</v>
      </c>
      <c r="AD175" s="175">
        <v>8.5869999999999991E-3</v>
      </c>
    </row>
    <row r="176" spans="1:30">
      <c r="A176" s="170" t="s">
        <v>503</v>
      </c>
      <c r="B176" s="170" t="s">
        <v>535</v>
      </c>
      <c r="C176" s="170" t="s">
        <v>562</v>
      </c>
      <c r="D176" s="170" t="s">
        <v>561</v>
      </c>
      <c r="E176" s="170" t="s">
        <v>491</v>
      </c>
      <c r="F176" s="170" t="s">
        <v>499</v>
      </c>
      <c r="G176" s="170" t="s">
        <v>498</v>
      </c>
      <c r="H176" s="170" t="s">
        <v>497</v>
      </c>
      <c r="I176" s="170" t="s">
        <v>39</v>
      </c>
      <c r="J176" s="170" t="s">
        <v>560</v>
      </c>
      <c r="K176" s="170" t="s">
        <v>495</v>
      </c>
      <c r="L176" s="170" t="s">
        <v>111</v>
      </c>
      <c r="M176" s="175">
        <v>2284000</v>
      </c>
      <c r="N176" s="175">
        <v>101.458</v>
      </c>
      <c r="O176" s="175">
        <v>1</v>
      </c>
      <c r="P176" s="175">
        <v>1</v>
      </c>
      <c r="Q176" s="393">
        <v>525447607.44999999</v>
      </c>
      <c r="R176" s="390">
        <v>4.4463699999999998E-3</v>
      </c>
      <c r="S176" s="175">
        <v>5</v>
      </c>
      <c r="T176" s="175">
        <v>1.6756E-2</v>
      </c>
      <c r="U176" s="175">
        <v>4.8372999999999999</v>
      </c>
      <c r="V176" s="175">
        <v>2.0631E-2</v>
      </c>
      <c r="W176" s="175">
        <v>2132</v>
      </c>
      <c r="X176" s="175">
        <v>10.489547999999999</v>
      </c>
      <c r="Y176" s="175">
        <v>0.96762099999999995</v>
      </c>
      <c r="Z176" s="175">
        <v>0.96762099999999995</v>
      </c>
      <c r="AA176" s="175">
        <v>1.6442999999999999E-2</v>
      </c>
      <c r="AB176" s="175">
        <v>2.1440000000000001E-2</v>
      </c>
      <c r="AC176" s="175">
        <v>1.6702999999999999E-2</v>
      </c>
      <c r="AD176" s="175">
        <v>1.6390999999999999E-2</v>
      </c>
    </row>
    <row r="177" spans="1:30">
      <c r="A177" s="170" t="s">
        <v>503</v>
      </c>
      <c r="B177" s="170" t="s">
        <v>535</v>
      </c>
      <c r="C177" s="170" t="s">
        <v>559</v>
      </c>
      <c r="D177" s="170" t="s">
        <v>558</v>
      </c>
      <c r="E177" s="170" t="s">
        <v>491</v>
      </c>
      <c r="F177" s="170" t="s">
        <v>297</v>
      </c>
      <c r="G177" s="170" t="s">
        <v>531</v>
      </c>
      <c r="H177" s="170" t="s">
        <v>530</v>
      </c>
      <c r="I177" s="170" t="s">
        <v>39</v>
      </c>
      <c r="J177" s="170" t="s">
        <v>557</v>
      </c>
      <c r="K177" s="170" t="s">
        <v>511</v>
      </c>
      <c r="L177" s="170" t="s">
        <v>112</v>
      </c>
      <c r="M177" s="175">
        <v>900000</v>
      </c>
      <c r="N177" s="175">
        <v>102.203</v>
      </c>
      <c r="O177" s="175">
        <v>1</v>
      </c>
      <c r="P177" s="175">
        <v>1</v>
      </c>
      <c r="Q177" s="393">
        <v>525447607.44999999</v>
      </c>
      <c r="R177" s="390">
        <v>1.7608400000000001E-3</v>
      </c>
      <c r="S177" s="175">
        <v>6.75</v>
      </c>
      <c r="T177" s="175">
        <v>6.5669999999999999E-3</v>
      </c>
      <c r="U177" s="175">
        <v>6.3061999999999996</v>
      </c>
      <c r="V177" s="175">
        <v>1.0935E-2</v>
      </c>
      <c r="W177" s="175">
        <v>1796</v>
      </c>
      <c r="X177" s="175">
        <v>3.4993650000000001</v>
      </c>
      <c r="Y177" s="175">
        <v>0.68811599999999995</v>
      </c>
      <c r="Z177" s="175">
        <v>0.68811599999999995</v>
      </c>
      <c r="AA177" s="175">
        <v>6.5449999999999996E-3</v>
      </c>
      <c r="AB177" s="175">
        <v>1.1065999999999999E-2</v>
      </c>
      <c r="AC177" s="175">
        <v>6.5440000000000003E-3</v>
      </c>
      <c r="AD177" s="175">
        <v>6.522E-3</v>
      </c>
    </row>
    <row r="178" spans="1:30">
      <c r="A178" s="170" t="s">
        <v>503</v>
      </c>
      <c r="B178" s="170" t="s">
        <v>535</v>
      </c>
      <c r="C178" s="170" t="s">
        <v>556</v>
      </c>
      <c r="D178" s="170" t="s">
        <v>555</v>
      </c>
      <c r="E178" s="170" t="s">
        <v>491</v>
      </c>
      <c r="F178" s="170" t="s">
        <v>499</v>
      </c>
      <c r="G178" s="170" t="s">
        <v>498</v>
      </c>
      <c r="H178" s="170" t="s">
        <v>497</v>
      </c>
      <c r="I178" s="170" t="s">
        <v>39</v>
      </c>
      <c r="J178" s="170" t="s">
        <v>554</v>
      </c>
      <c r="K178" s="170" t="s">
        <v>495</v>
      </c>
      <c r="L178" s="170" t="s">
        <v>115</v>
      </c>
      <c r="M178" s="175">
        <v>2600000</v>
      </c>
      <c r="N178" s="175">
        <v>102.17400000000001</v>
      </c>
      <c r="O178" s="175">
        <v>1</v>
      </c>
      <c r="P178" s="175">
        <v>1</v>
      </c>
      <c r="Q178" s="393">
        <v>525447607.44999999</v>
      </c>
      <c r="R178" s="390">
        <v>5.1022899999999998E-3</v>
      </c>
      <c r="S178" s="175">
        <v>5.125</v>
      </c>
      <c r="T178" s="175">
        <v>2.8598999999999999E-2</v>
      </c>
      <c r="U178" s="175">
        <v>4.8716999999999997</v>
      </c>
      <c r="V178" s="175">
        <v>2.4695000000000002E-2</v>
      </c>
      <c r="W178" s="175">
        <v>2497</v>
      </c>
      <c r="X178" s="175">
        <v>14.097670000000001</v>
      </c>
      <c r="Y178" s="175">
        <v>1.201295</v>
      </c>
      <c r="Z178" s="175">
        <v>1.201295</v>
      </c>
      <c r="AA178" s="175">
        <v>2.8835E-2</v>
      </c>
      <c r="AB178" s="175">
        <v>2.4767000000000001E-2</v>
      </c>
      <c r="AC178" s="175">
        <v>2.8494999999999999E-2</v>
      </c>
      <c r="AD178" s="175">
        <v>2.8731E-2</v>
      </c>
    </row>
    <row r="179" spans="1:30">
      <c r="A179" s="170" t="s">
        <v>503</v>
      </c>
      <c r="B179" s="170" t="s">
        <v>535</v>
      </c>
      <c r="C179" s="170" t="s">
        <v>553</v>
      </c>
      <c r="D179" s="170" t="s">
        <v>552</v>
      </c>
      <c r="E179" s="170" t="s">
        <v>491</v>
      </c>
      <c r="F179" s="170" t="s">
        <v>499</v>
      </c>
      <c r="G179" s="170" t="s">
        <v>498</v>
      </c>
      <c r="H179" s="170" t="s">
        <v>551</v>
      </c>
      <c r="I179" s="170" t="s">
        <v>39</v>
      </c>
      <c r="J179" s="170" t="s">
        <v>550</v>
      </c>
      <c r="K179" s="170" t="s">
        <v>495</v>
      </c>
      <c r="L179" s="170" t="s">
        <v>110</v>
      </c>
      <c r="M179" s="175">
        <v>1582000</v>
      </c>
      <c r="N179" s="175">
        <v>102.57899999999999</v>
      </c>
      <c r="O179" s="175">
        <v>1</v>
      </c>
      <c r="P179" s="175">
        <v>1</v>
      </c>
      <c r="Q179" s="393">
        <v>525447607.44999999</v>
      </c>
      <c r="R179" s="390">
        <v>3.1109900000000001E-3</v>
      </c>
      <c r="S179" s="175">
        <v>5.625</v>
      </c>
      <c r="T179" s="175">
        <v>1.4748000000000001E-2</v>
      </c>
      <c r="U179" s="175">
        <v>5.3072999999999997</v>
      </c>
      <c r="V179" s="175">
        <v>1.6053000000000001E-2</v>
      </c>
      <c r="W179" s="175">
        <v>2511</v>
      </c>
      <c r="X179" s="175">
        <v>8.6439059999999994</v>
      </c>
      <c r="Y179" s="175">
        <v>0.81235800000000002</v>
      </c>
      <c r="Z179" s="175">
        <v>0.81235800000000002</v>
      </c>
      <c r="AA179" s="175">
        <v>1.4555E-2</v>
      </c>
      <c r="AB179" s="175">
        <v>1.6454E-2</v>
      </c>
      <c r="AC179" s="175">
        <v>1.4697999999999999E-2</v>
      </c>
      <c r="AD179" s="175">
        <v>1.4505000000000001E-2</v>
      </c>
    </row>
    <row r="180" spans="1:30">
      <c r="A180" s="170" t="s">
        <v>503</v>
      </c>
      <c r="B180" s="170" t="s">
        <v>535</v>
      </c>
      <c r="C180" s="170" t="s">
        <v>549</v>
      </c>
      <c r="D180" s="170" t="s">
        <v>548</v>
      </c>
      <c r="E180" s="170" t="s">
        <v>491</v>
      </c>
      <c r="F180" s="170" t="s">
        <v>547</v>
      </c>
      <c r="G180" s="170" t="s">
        <v>498</v>
      </c>
      <c r="H180" s="170" t="s">
        <v>508</v>
      </c>
      <c r="I180" s="170" t="s">
        <v>39</v>
      </c>
      <c r="J180" s="170" t="s">
        <v>543</v>
      </c>
      <c r="K180" s="170" t="s">
        <v>495</v>
      </c>
      <c r="L180" s="170" t="s">
        <v>113</v>
      </c>
      <c r="M180" s="175">
        <v>2514000</v>
      </c>
      <c r="N180" s="175">
        <v>102.363</v>
      </c>
      <c r="O180" s="175">
        <v>1</v>
      </c>
      <c r="P180" s="175">
        <v>1</v>
      </c>
      <c r="Q180" s="393">
        <v>525447607.44999999</v>
      </c>
      <c r="R180" s="390">
        <v>4.9310400000000002E-3</v>
      </c>
      <c r="S180" s="175">
        <v>5.25</v>
      </c>
      <c r="T180" s="175">
        <v>2.3618E-2</v>
      </c>
      <c r="U180" s="175">
        <v>4.8872</v>
      </c>
      <c r="V180" s="175">
        <v>2.3472E-2</v>
      </c>
      <c r="W180" s="175">
        <v>2512</v>
      </c>
      <c r="X180" s="175">
        <v>13.706365999999999</v>
      </c>
      <c r="Y180" s="175">
        <v>1.118484</v>
      </c>
      <c r="Z180" s="175">
        <v>1.118484</v>
      </c>
      <c r="AA180" s="175">
        <v>2.3317999999999998E-2</v>
      </c>
      <c r="AB180" s="175">
        <v>2.4039000000000001E-2</v>
      </c>
      <c r="AC180" s="175">
        <v>2.3560000000000001E-2</v>
      </c>
      <c r="AD180" s="175">
        <v>2.3259999999999999E-2</v>
      </c>
    </row>
    <row r="181" spans="1:30">
      <c r="A181" s="170" t="s">
        <v>503</v>
      </c>
      <c r="B181" s="170" t="s">
        <v>535</v>
      </c>
      <c r="C181" s="170" t="s">
        <v>546</v>
      </c>
      <c r="D181" s="170" t="s">
        <v>545</v>
      </c>
      <c r="E181" s="170" t="s">
        <v>491</v>
      </c>
      <c r="F181" s="170" t="s">
        <v>287</v>
      </c>
      <c r="G181" s="170" t="s">
        <v>498</v>
      </c>
      <c r="H181" s="170" t="s">
        <v>544</v>
      </c>
      <c r="I181" s="170" t="s">
        <v>39</v>
      </c>
      <c r="J181" s="170" t="s">
        <v>543</v>
      </c>
      <c r="K181" s="170" t="s">
        <v>495</v>
      </c>
      <c r="L181" s="170" t="s">
        <v>114</v>
      </c>
      <c r="M181" s="175">
        <v>3851000</v>
      </c>
      <c r="N181" s="175">
        <v>101.661</v>
      </c>
      <c r="O181" s="175">
        <v>1</v>
      </c>
      <c r="P181" s="175">
        <v>1</v>
      </c>
      <c r="Q181" s="393">
        <v>525447607.44999999</v>
      </c>
      <c r="R181" s="390">
        <v>7.4983599999999999E-3</v>
      </c>
      <c r="S181" s="175">
        <v>4.5</v>
      </c>
      <c r="T181" s="175">
        <v>3.6816000000000002E-2</v>
      </c>
      <c r="U181" s="175">
        <v>4.3141999999999996</v>
      </c>
      <c r="V181" s="175">
        <v>3.1718000000000003E-2</v>
      </c>
      <c r="W181" s="175">
        <v>2512</v>
      </c>
      <c r="X181" s="175">
        <v>20.842514999999999</v>
      </c>
      <c r="Y181" s="175">
        <v>1.2523070000000001</v>
      </c>
      <c r="Z181" s="175">
        <v>1.2523070000000001</v>
      </c>
      <c r="AA181" s="175">
        <v>3.6297000000000003E-2</v>
      </c>
      <c r="AB181" s="175">
        <v>3.2261999999999999E-2</v>
      </c>
      <c r="AC181" s="175">
        <v>3.6715999999999999E-2</v>
      </c>
      <c r="AD181" s="175">
        <v>3.6199000000000002E-2</v>
      </c>
    </row>
    <row r="182" spans="1:30">
      <c r="A182" s="170" t="s">
        <v>503</v>
      </c>
      <c r="B182" s="170" t="s">
        <v>535</v>
      </c>
      <c r="C182" s="170" t="s">
        <v>542</v>
      </c>
      <c r="D182" s="170" t="s">
        <v>541</v>
      </c>
      <c r="E182" s="170" t="s">
        <v>491</v>
      </c>
      <c r="F182" s="170" t="s">
        <v>532</v>
      </c>
      <c r="G182" s="170" t="s">
        <v>531</v>
      </c>
      <c r="H182" s="170" t="s">
        <v>508</v>
      </c>
      <c r="I182" s="170" t="s">
        <v>39</v>
      </c>
      <c r="J182" s="170" t="s">
        <v>540</v>
      </c>
      <c r="K182" s="170" t="s">
        <v>511</v>
      </c>
      <c r="L182" s="170" t="s">
        <v>114</v>
      </c>
      <c r="M182" s="175">
        <v>1319000</v>
      </c>
      <c r="N182" s="175">
        <v>101.46299999999999</v>
      </c>
      <c r="O182" s="175">
        <v>1</v>
      </c>
      <c r="P182" s="175">
        <v>1</v>
      </c>
      <c r="Q182" s="393">
        <v>525447607.44999999</v>
      </c>
      <c r="R182" s="390">
        <v>2.55617E-3</v>
      </c>
      <c r="S182" s="175">
        <v>4</v>
      </c>
      <c r="T182" s="175">
        <v>9.6970000000000008E-3</v>
      </c>
      <c r="U182" s="175">
        <v>3.7545000000000002</v>
      </c>
      <c r="V182" s="175">
        <v>9.4579999999999994E-3</v>
      </c>
      <c r="W182" s="175">
        <v>1812</v>
      </c>
      <c r="X182" s="175">
        <v>5.1252129999999996</v>
      </c>
      <c r="Y182" s="175">
        <v>0.35663699999999998</v>
      </c>
      <c r="Z182" s="175">
        <v>0.35663699999999998</v>
      </c>
      <c r="AA182" s="175">
        <v>9.5949999999999994E-3</v>
      </c>
      <c r="AB182" s="175">
        <v>9.5650000000000006E-3</v>
      </c>
      <c r="AC182" s="175">
        <v>9.665E-3</v>
      </c>
      <c r="AD182" s="175">
        <v>9.5630000000000003E-3</v>
      </c>
    </row>
    <row r="183" spans="1:30">
      <c r="A183" s="170" t="s">
        <v>503</v>
      </c>
      <c r="B183" s="170" t="s">
        <v>535</v>
      </c>
      <c r="C183" s="170" t="s">
        <v>539</v>
      </c>
      <c r="D183" s="170" t="s">
        <v>538</v>
      </c>
      <c r="E183" s="170" t="s">
        <v>491</v>
      </c>
      <c r="F183" s="170" t="s">
        <v>537</v>
      </c>
      <c r="G183" s="170" t="s">
        <v>498</v>
      </c>
      <c r="H183" s="170" t="s">
        <v>513</v>
      </c>
      <c r="I183" s="170" t="s">
        <v>39</v>
      </c>
      <c r="J183" s="170" t="s">
        <v>536</v>
      </c>
      <c r="K183" s="170" t="s">
        <v>495</v>
      </c>
      <c r="L183" s="170" t="s">
        <v>113</v>
      </c>
      <c r="M183" s="175">
        <v>5528000</v>
      </c>
      <c r="N183" s="175">
        <v>99.043999999999997</v>
      </c>
      <c r="O183" s="175">
        <v>1</v>
      </c>
      <c r="P183" s="175">
        <v>1</v>
      </c>
      <c r="Q183" s="393">
        <v>525447607.44999999</v>
      </c>
      <c r="R183" s="390">
        <v>1.045373E-2</v>
      </c>
      <c r="S183" s="175">
        <v>4.125</v>
      </c>
      <c r="T183" s="175">
        <v>4.5220999999999997E-2</v>
      </c>
      <c r="U183" s="175">
        <v>4.2773000000000003</v>
      </c>
      <c r="V183" s="175">
        <v>4.4741999999999997E-2</v>
      </c>
      <c r="W183" s="175">
        <v>1996</v>
      </c>
      <c r="X183" s="175">
        <v>23.088509999999999</v>
      </c>
      <c r="Y183" s="175">
        <v>1.9847950000000001</v>
      </c>
      <c r="Z183" s="175">
        <v>1.9847950000000001</v>
      </c>
      <c r="AA183" s="175">
        <v>4.4899000000000001E-2</v>
      </c>
      <c r="AB183" s="175">
        <v>4.4822000000000001E-2</v>
      </c>
      <c r="AC183" s="175">
        <v>4.5331000000000003E-2</v>
      </c>
      <c r="AD183" s="175">
        <v>4.5007999999999999E-2</v>
      </c>
    </row>
    <row r="184" spans="1:30">
      <c r="A184" s="170" t="s">
        <v>503</v>
      </c>
      <c r="B184" s="170" t="s">
        <v>535</v>
      </c>
      <c r="C184" s="170" t="s">
        <v>534</v>
      </c>
      <c r="D184" s="170" t="s">
        <v>533</v>
      </c>
      <c r="E184" s="170" t="s">
        <v>491</v>
      </c>
      <c r="F184" s="170" t="s">
        <v>532</v>
      </c>
      <c r="G184" s="170" t="s">
        <v>531</v>
      </c>
      <c r="H184" s="170" t="s">
        <v>530</v>
      </c>
      <c r="I184" s="170" t="s">
        <v>39</v>
      </c>
      <c r="J184" s="170" t="s">
        <v>529</v>
      </c>
      <c r="K184" s="170" t="s">
        <v>528</v>
      </c>
      <c r="L184" s="170" t="s">
        <v>112</v>
      </c>
      <c r="M184" s="175">
        <v>691000</v>
      </c>
      <c r="N184" s="175">
        <v>102.968</v>
      </c>
      <c r="O184" s="175">
        <v>1</v>
      </c>
      <c r="P184" s="175">
        <v>1</v>
      </c>
      <c r="Q184" s="393">
        <v>525447607.44999999</v>
      </c>
      <c r="R184" s="390">
        <v>1.3601900000000001E-3</v>
      </c>
      <c r="S184" s="175">
        <v>5.375</v>
      </c>
      <c r="T184" s="175">
        <v>6.4070000000000004E-3</v>
      </c>
      <c r="U184" s="175">
        <v>4.8044000000000002</v>
      </c>
      <c r="V184" s="175">
        <v>6.2839999999999997E-3</v>
      </c>
      <c r="W184" s="175">
        <v>2559</v>
      </c>
      <c r="X184" s="175">
        <v>3.8515280000000001</v>
      </c>
      <c r="Y184" s="175">
        <v>0.29165200000000002</v>
      </c>
      <c r="Z184" s="175">
        <v>0.29165200000000002</v>
      </c>
      <c r="AA184" s="175">
        <v>6.3090000000000004E-3</v>
      </c>
      <c r="AB184" s="175">
        <v>6.5599999999999999E-3</v>
      </c>
      <c r="AC184" s="175">
        <v>6.4320000000000002E-3</v>
      </c>
      <c r="AD184" s="175">
        <v>6.3330000000000001E-3</v>
      </c>
    </row>
    <row r="185" spans="1:30">
      <c r="A185" s="170" t="s">
        <v>503</v>
      </c>
      <c r="B185" s="170" t="s">
        <v>502</v>
      </c>
      <c r="C185" s="170" t="s">
        <v>527</v>
      </c>
      <c r="D185" s="170" t="s">
        <v>526</v>
      </c>
      <c r="E185" s="170" t="s">
        <v>491</v>
      </c>
      <c r="F185" s="170" t="s">
        <v>525</v>
      </c>
      <c r="G185" s="170" t="s">
        <v>498</v>
      </c>
      <c r="H185" s="170" t="s">
        <v>524</v>
      </c>
      <c r="I185" s="170" t="s">
        <v>39</v>
      </c>
      <c r="J185" s="170" t="s">
        <v>523</v>
      </c>
      <c r="K185" s="170" t="s">
        <v>495</v>
      </c>
      <c r="L185" s="170" t="s">
        <v>111</v>
      </c>
      <c r="M185" s="175">
        <v>2727000</v>
      </c>
      <c r="N185" s="175">
        <v>98.292000000000002</v>
      </c>
      <c r="O185" s="175">
        <v>1</v>
      </c>
      <c r="P185" s="175">
        <v>1</v>
      </c>
      <c r="Q185" s="393">
        <v>525447607.44999999</v>
      </c>
      <c r="R185" s="390">
        <v>5.1582499999999996E-3</v>
      </c>
      <c r="S185" s="175"/>
      <c r="T185" s="175">
        <v>2.13E-4</v>
      </c>
      <c r="U185" s="175">
        <v>7.7793000000000001</v>
      </c>
      <c r="V185" s="175">
        <v>4.0131E-2</v>
      </c>
      <c r="W185" s="175">
        <v>2504</v>
      </c>
      <c r="X185" s="175">
        <v>14.292259</v>
      </c>
      <c r="Y185" s="175">
        <v>2.7697050000000001</v>
      </c>
      <c r="Z185" s="175">
        <v>2.7697050000000001</v>
      </c>
      <c r="AA185" s="175">
        <v>2.7858000000000001E-2</v>
      </c>
      <c r="AB185" s="175">
        <v>3.9945000000000001E-2</v>
      </c>
      <c r="AC185" s="175">
        <v>2.12E-4</v>
      </c>
      <c r="AD185" s="175">
        <v>2.7732E-2</v>
      </c>
    </row>
    <row r="186" spans="1:30">
      <c r="A186" s="170" t="s">
        <v>503</v>
      </c>
      <c r="B186" s="170" t="s">
        <v>502</v>
      </c>
      <c r="C186" s="170" t="s">
        <v>522</v>
      </c>
      <c r="D186" s="170" t="s">
        <v>521</v>
      </c>
      <c r="E186" s="170" t="s">
        <v>491</v>
      </c>
      <c r="F186" s="170" t="s">
        <v>287</v>
      </c>
      <c r="G186" s="170" t="s">
        <v>498</v>
      </c>
      <c r="H186" s="170" t="s">
        <v>508</v>
      </c>
      <c r="I186" s="170" t="s">
        <v>39</v>
      </c>
      <c r="J186" s="170" t="s">
        <v>520</v>
      </c>
      <c r="K186" s="170" t="s">
        <v>511</v>
      </c>
      <c r="L186" s="170" t="s">
        <v>110</v>
      </c>
      <c r="M186" s="175">
        <v>847000</v>
      </c>
      <c r="N186" s="175">
        <v>100.432</v>
      </c>
      <c r="O186" s="175">
        <v>1</v>
      </c>
      <c r="P186" s="175">
        <v>1</v>
      </c>
      <c r="Q186" s="393">
        <v>525447607.44999999</v>
      </c>
      <c r="R186" s="390">
        <v>1.6378E-3</v>
      </c>
      <c r="S186" s="175">
        <v>5.4749999999999996</v>
      </c>
      <c r="T186" s="175">
        <v>2.2800000000000001E-4</v>
      </c>
      <c r="U186" s="175">
        <v>5.6608999999999998</v>
      </c>
      <c r="V186" s="175">
        <v>9.2700000000000005E-3</v>
      </c>
      <c r="W186" s="175">
        <v>1797</v>
      </c>
      <c r="X186" s="175">
        <v>3.2566630000000001</v>
      </c>
      <c r="Y186" s="175">
        <v>0.56203599999999998</v>
      </c>
      <c r="Z186" s="175">
        <v>0.56203599999999998</v>
      </c>
      <c r="AA186" s="175">
        <v>7.0289999999999997E-3</v>
      </c>
      <c r="AB186" s="175">
        <v>9.2379999999999997E-3</v>
      </c>
      <c r="AC186" s="175">
        <v>2.2800000000000001E-4</v>
      </c>
      <c r="AD186" s="175">
        <v>7.0029999999999997E-3</v>
      </c>
    </row>
    <row r="187" spans="1:30">
      <c r="A187" s="170" t="s">
        <v>503</v>
      </c>
      <c r="B187" s="170" t="s">
        <v>502</v>
      </c>
      <c r="C187" s="170" t="s">
        <v>519</v>
      </c>
      <c r="D187" s="170" t="s">
        <v>518</v>
      </c>
      <c r="E187" s="170" t="s">
        <v>491</v>
      </c>
      <c r="F187" s="170" t="s">
        <v>287</v>
      </c>
      <c r="G187" s="170" t="s">
        <v>498</v>
      </c>
      <c r="H187" s="170" t="s">
        <v>508</v>
      </c>
      <c r="I187" s="170" t="s">
        <v>39</v>
      </c>
      <c r="J187" s="170" t="s">
        <v>517</v>
      </c>
      <c r="K187" s="170" t="s">
        <v>495</v>
      </c>
      <c r="L187" s="170" t="s">
        <v>111</v>
      </c>
      <c r="M187" s="175">
        <v>2029000</v>
      </c>
      <c r="N187" s="175">
        <v>100.33799999999999</v>
      </c>
      <c r="O187" s="175">
        <v>1</v>
      </c>
      <c r="P187" s="175">
        <v>1</v>
      </c>
      <c r="Q187" s="393">
        <v>525447607.44999999</v>
      </c>
      <c r="R187" s="390">
        <v>3.9198599999999998E-3</v>
      </c>
      <c r="S187" s="175">
        <v>5.35</v>
      </c>
      <c r="T187" s="175">
        <v>5.5999999999999995E-4</v>
      </c>
      <c r="U187" s="175">
        <v>5.6437999999999997</v>
      </c>
      <c r="V187" s="175">
        <v>2.2107999999999999E-2</v>
      </c>
      <c r="W187" s="175">
        <v>2116</v>
      </c>
      <c r="X187" s="175">
        <v>9.1780380000000008</v>
      </c>
      <c r="Y187" s="175">
        <v>1.33755</v>
      </c>
      <c r="Z187" s="175">
        <v>1.33755</v>
      </c>
      <c r="AA187" s="175">
        <v>1.303E-2</v>
      </c>
      <c r="AB187" s="175">
        <v>2.2029E-2</v>
      </c>
      <c r="AC187" s="175">
        <v>5.5800000000000001E-4</v>
      </c>
      <c r="AD187" s="175">
        <v>1.2975E-2</v>
      </c>
    </row>
    <row r="188" spans="1:30">
      <c r="A188" s="170" t="s">
        <v>503</v>
      </c>
      <c r="B188" s="170" t="s">
        <v>502</v>
      </c>
      <c r="C188" s="170" t="s">
        <v>516</v>
      </c>
      <c r="D188" s="170" t="s">
        <v>515</v>
      </c>
      <c r="E188" s="170" t="s">
        <v>491</v>
      </c>
      <c r="F188" s="170" t="s">
        <v>514</v>
      </c>
      <c r="G188" s="170" t="s">
        <v>498</v>
      </c>
      <c r="H188" s="170" t="s">
        <v>513</v>
      </c>
      <c r="I188" s="170" t="s">
        <v>39</v>
      </c>
      <c r="J188" s="170" t="s">
        <v>512</v>
      </c>
      <c r="K188" s="170" t="s">
        <v>511</v>
      </c>
      <c r="L188" s="170" t="s">
        <v>110</v>
      </c>
      <c r="M188" s="175">
        <v>2224000</v>
      </c>
      <c r="N188" s="175">
        <v>97.575999999999993</v>
      </c>
      <c r="O188" s="175">
        <v>1</v>
      </c>
      <c r="P188" s="175">
        <v>1</v>
      </c>
      <c r="Q188" s="393">
        <v>525447607.44999999</v>
      </c>
      <c r="R188" s="390">
        <v>4.1725099999999999E-3</v>
      </c>
      <c r="S188" s="175">
        <v>6.1050000000000004</v>
      </c>
      <c r="T188" s="175">
        <v>2.72E-4</v>
      </c>
      <c r="U188" s="175">
        <v>6.6471</v>
      </c>
      <c r="V188" s="175">
        <v>2.7747000000000001E-2</v>
      </c>
      <c r="W188" s="175">
        <v>1766</v>
      </c>
      <c r="X188" s="175">
        <v>8.1536500000000007</v>
      </c>
      <c r="Y188" s="175">
        <v>1.8660479999999999</v>
      </c>
      <c r="Z188" s="175">
        <v>1.8660479999999999</v>
      </c>
      <c r="AA188" s="175">
        <v>1.7493999999999999E-2</v>
      </c>
      <c r="AB188" s="175">
        <v>2.7597E-2</v>
      </c>
      <c r="AC188" s="175">
        <v>2.7099999999999997E-4</v>
      </c>
      <c r="AD188" s="175">
        <v>1.7406000000000001E-2</v>
      </c>
    </row>
    <row r="189" spans="1:30">
      <c r="A189" s="170" t="s">
        <v>503</v>
      </c>
      <c r="B189" s="170" t="s">
        <v>502</v>
      </c>
      <c r="C189" s="170" t="s">
        <v>510</v>
      </c>
      <c r="D189" s="170" t="s">
        <v>509</v>
      </c>
      <c r="E189" s="170" t="s">
        <v>491</v>
      </c>
      <c r="F189" s="170" t="s">
        <v>499</v>
      </c>
      <c r="G189" s="170" t="s">
        <v>498</v>
      </c>
      <c r="H189" s="170" t="s">
        <v>508</v>
      </c>
      <c r="I189" s="170" t="s">
        <v>39</v>
      </c>
      <c r="J189" s="170" t="s">
        <v>507</v>
      </c>
      <c r="K189" s="170" t="s">
        <v>495</v>
      </c>
      <c r="L189" s="170" t="s">
        <v>111</v>
      </c>
      <c r="M189" s="175">
        <v>2606000</v>
      </c>
      <c r="N189" s="175">
        <v>101.30500000000001</v>
      </c>
      <c r="O189" s="175">
        <v>1</v>
      </c>
      <c r="P189" s="175">
        <v>1</v>
      </c>
      <c r="Q189" s="393">
        <v>525447607.44999999</v>
      </c>
      <c r="R189" s="390">
        <v>5.0652600000000002E-3</v>
      </c>
      <c r="S189" s="175">
        <v>6.4039999999999999</v>
      </c>
      <c r="T189" s="175">
        <v>9.859999999999999E-4</v>
      </c>
      <c r="U189" s="175">
        <v>6.2218999999999998</v>
      </c>
      <c r="V189" s="175">
        <v>3.1505999999999999E-2</v>
      </c>
      <c r="W189" s="175">
        <v>2146</v>
      </c>
      <c r="X189" s="175">
        <v>12.028052000000001</v>
      </c>
      <c r="Y189" s="175">
        <v>1.9985820000000001</v>
      </c>
      <c r="Z189" s="175">
        <v>1.9985820000000001</v>
      </c>
      <c r="AA189" s="175">
        <v>2.4933E-2</v>
      </c>
      <c r="AB189" s="175">
        <v>3.1398000000000002E-2</v>
      </c>
      <c r="AC189" s="175">
        <v>9.8200000000000002E-4</v>
      </c>
      <c r="AD189" s="175">
        <v>2.4840000000000001E-2</v>
      </c>
    </row>
    <row r="190" spans="1:30">
      <c r="A190" s="170" t="s">
        <v>503</v>
      </c>
      <c r="B190" s="170" t="s">
        <v>502</v>
      </c>
      <c r="C190" s="170" t="s">
        <v>506</v>
      </c>
      <c r="D190" s="170" t="s">
        <v>505</v>
      </c>
      <c r="E190" s="170" t="s">
        <v>491</v>
      </c>
      <c r="F190" s="170" t="s">
        <v>499</v>
      </c>
      <c r="G190" s="170" t="s">
        <v>498</v>
      </c>
      <c r="H190" s="170" t="s">
        <v>497</v>
      </c>
      <c r="I190" s="170" t="s">
        <v>39</v>
      </c>
      <c r="J190" s="170" t="s">
        <v>504</v>
      </c>
      <c r="K190" s="170" t="s">
        <v>495</v>
      </c>
      <c r="L190" s="170" t="s">
        <v>111</v>
      </c>
      <c r="M190" s="175">
        <v>2501000</v>
      </c>
      <c r="N190" s="175">
        <v>100.422</v>
      </c>
      <c r="O190" s="175">
        <v>1</v>
      </c>
      <c r="P190" s="175">
        <v>1</v>
      </c>
      <c r="Q190" s="393">
        <v>525447607.44999999</v>
      </c>
      <c r="R190" s="390">
        <v>4.8151499999999998E-3</v>
      </c>
      <c r="S190" s="175">
        <v>5.7789999999999999</v>
      </c>
      <c r="T190" s="175">
        <v>1.2639999999999999E-3</v>
      </c>
      <c r="U190" s="175">
        <v>5.6618000000000004</v>
      </c>
      <c r="V190" s="175">
        <v>2.7254E-2</v>
      </c>
      <c r="W190" s="175">
        <v>2162</v>
      </c>
      <c r="X190" s="175">
        <v>11.519386000000001</v>
      </c>
      <c r="Y190" s="175">
        <v>1.6450070000000001</v>
      </c>
      <c r="Z190" s="175">
        <v>1.6450070000000001</v>
      </c>
      <c r="AA190" s="175">
        <v>2.4292000000000001E-2</v>
      </c>
      <c r="AB190" s="175">
        <v>2.7168999999999999E-2</v>
      </c>
      <c r="AC190" s="175">
        <v>1.2600000000000001E-3</v>
      </c>
      <c r="AD190" s="175">
        <v>2.4209000000000001E-2</v>
      </c>
    </row>
    <row r="191" spans="1:30">
      <c r="A191" s="170" t="s">
        <v>503</v>
      </c>
      <c r="B191" s="170" t="s">
        <v>502</v>
      </c>
      <c r="C191" s="170" t="s">
        <v>501</v>
      </c>
      <c r="D191" s="170" t="s">
        <v>500</v>
      </c>
      <c r="E191" s="170" t="s">
        <v>491</v>
      </c>
      <c r="F191" s="170" t="s">
        <v>499</v>
      </c>
      <c r="G191" s="170" t="s">
        <v>498</v>
      </c>
      <c r="H191" s="170" t="s">
        <v>497</v>
      </c>
      <c r="I191" s="170" t="s">
        <v>39</v>
      </c>
      <c r="J191" s="170" t="s">
        <v>496</v>
      </c>
      <c r="K191" s="170" t="s">
        <v>495</v>
      </c>
      <c r="L191" s="170" t="s">
        <v>111</v>
      </c>
      <c r="M191" s="175">
        <v>2337000</v>
      </c>
      <c r="N191" s="175">
        <v>100.68</v>
      </c>
      <c r="O191" s="175">
        <v>1</v>
      </c>
      <c r="P191" s="175">
        <v>1</v>
      </c>
      <c r="Q191" s="393">
        <v>525447607.44999999</v>
      </c>
      <c r="R191" s="390">
        <v>4.5264700000000003E-3</v>
      </c>
      <c r="S191" s="175">
        <v>6.6050000000000004</v>
      </c>
      <c r="T191" s="175">
        <v>3.68E-4</v>
      </c>
      <c r="U191" s="175">
        <v>6.4169999999999998</v>
      </c>
      <c r="V191" s="175">
        <v>1.5751999999999999E-2</v>
      </c>
      <c r="W191" s="175">
        <v>2259</v>
      </c>
      <c r="X191" s="175">
        <v>11.314608</v>
      </c>
      <c r="Y191" s="175">
        <v>0.62951599999999996</v>
      </c>
      <c r="Z191" s="175">
        <v>0.62951599999999996</v>
      </c>
      <c r="AA191" s="175">
        <v>3.7199999999999999E-4</v>
      </c>
      <c r="AB191" s="175">
        <v>2.8913999999999999E-2</v>
      </c>
      <c r="AC191" s="175">
        <v>3.6699999999999998E-4</v>
      </c>
      <c r="AD191" s="175">
        <v>3.6999999999999999E-4</v>
      </c>
    </row>
    <row r="192" spans="1:30">
      <c r="A192" s="170" t="s">
        <v>491</v>
      </c>
      <c r="B192" s="170" t="s">
        <v>494</v>
      </c>
      <c r="C192" s="170" t="s">
        <v>493</v>
      </c>
      <c r="D192" s="170" t="s">
        <v>492</v>
      </c>
      <c r="E192" s="170" t="s">
        <v>491</v>
      </c>
      <c r="F192" s="170" t="s">
        <v>491</v>
      </c>
      <c r="G192" s="170" t="s">
        <v>491</v>
      </c>
      <c r="H192" s="170" t="s">
        <v>491</v>
      </c>
      <c r="I192" s="170" t="s">
        <v>39</v>
      </c>
      <c r="J192" s="170" t="s">
        <v>40</v>
      </c>
      <c r="K192" s="170" t="s">
        <v>40</v>
      </c>
      <c r="L192" s="170" t="s">
        <v>40</v>
      </c>
      <c r="M192" s="175">
        <v>9490</v>
      </c>
      <c r="N192" s="175">
        <v>4729.45</v>
      </c>
      <c r="O192" s="175">
        <v>1</v>
      </c>
      <c r="P192" s="175">
        <v>1</v>
      </c>
      <c r="Q192" s="393">
        <v>525447607.44999999</v>
      </c>
      <c r="R192" s="390">
        <v>8.5417610000000005E-2</v>
      </c>
      <c r="S192" s="175"/>
      <c r="T192" s="175">
        <v>1.0300000000000001E-3</v>
      </c>
      <c r="U192" s="175">
        <v>1.9038999999999999</v>
      </c>
      <c r="V192" s="175">
        <v>0.16229299999999999</v>
      </c>
      <c r="W192" s="175">
        <v>0</v>
      </c>
      <c r="X192" s="175"/>
      <c r="Y192" s="175">
        <v>1.3824099999999999</v>
      </c>
      <c r="Z192" s="175">
        <v>1.3824099999999999</v>
      </c>
      <c r="AA192" s="175">
        <v>1.5739E-2</v>
      </c>
      <c r="AB192" s="175">
        <v>0.162721</v>
      </c>
      <c r="AC192" s="175">
        <v>1.031E-3</v>
      </c>
      <c r="AD192" s="175">
        <v>1.5748000000000002E-2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outlinePr showOutlineSymbols="0"/>
  </sheetPr>
  <dimension ref="A1:N188"/>
  <sheetViews>
    <sheetView showGridLines="0" showOutlineSymbols="0" zoomScale="55" zoomScaleNormal="55" workbookViewId="0"/>
  </sheetViews>
  <sheetFormatPr baseColWidth="10" defaultRowHeight="15" outlineLevelRow="1"/>
  <cols>
    <col min="1" max="1" width="15.28515625" customWidth="1"/>
    <col min="2" max="2" width="55.140625" customWidth="1"/>
    <col min="3" max="3" width="15.7109375" customWidth="1"/>
    <col min="4" max="4" width="35.140625" customWidth="1"/>
    <col min="5" max="5" width="22.5703125" customWidth="1"/>
    <col min="6" max="6" width="56" customWidth="1"/>
    <col min="7" max="7" width="20" customWidth="1"/>
    <col min="8" max="8" width="15.42578125" customWidth="1"/>
    <col min="9" max="9" width="13.140625" customWidth="1"/>
    <col min="10" max="10" width="13.85546875" customWidth="1"/>
    <col min="11" max="11" width="11.7109375" customWidth="1"/>
    <col min="12" max="12" width="10.42578125" customWidth="1"/>
    <col min="13" max="13" width="27.5703125" customWidth="1"/>
    <col min="14" max="14" width="6.85546875" customWidth="1"/>
  </cols>
  <sheetData>
    <row r="1" spans="1:14" outlineLevel="1">
      <c r="A1" s="100" t="s">
        <v>1225</v>
      </c>
      <c r="B1" s="99"/>
      <c r="C1" s="99"/>
      <c r="D1" s="99"/>
      <c r="E1" s="99"/>
      <c r="F1" s="99"/>
      <c r="G1" s="99"/>
      <c r="H1" s="99"/>
      <c r="I1" s="99"/>
      <c r="J1" s="99"/>
      <c r="K1" s="99"/>
      <c r="L1" s="99"/>
      <c r="M1" s="99"/>
      <c r="N1" s="99"/>
    </row>
    <row r="2" spans="1:14">
      <c r="A2" s="136" t="s">
        <v>1224</v>
      </c>
      <c r="B2" s="136" t="s">
        <v>1223</v>
      </c>
      <c r="C2" s="136" t="s">
        <v>1222</v>
      </c>
      <c r="D2" s="136" t="s">
        <v>1221</v>
      </c>
      <c r="E2" s="136" t="s">
        <v>1220</v>
      </c>
      <c r="F2" s="136" t="s">
        <v>1219</v>
      </c>
      <c r="G2" s="136" t="s">
        <v>1218</v>
      </c>
      <c r="H2" s="136" t="s">
        <v>1217</v>
      </c>
      <c r="I2" s="136" t="s">
        <v>1216</v>
      </c>
      <c r="J2" s="136" t="s">
        <v>1215</v>
      </c>
      <c r="K2" s="136" t="s">
        <v>1214</v>
      </c>
      <c r="L2" s="136" t="s">
        <v>1213</v>
      </c>
      <c r="M2" s="136" t="s">
        <v>1212</v>
      </c>
      <c r="N2" s="136" t="s">
        <v>1211</v>
      </c>
    </row>
    <row r="3" spans="1:14">
      <c r="A3" s="170" t="s">
        <v>40</v>
      </c>
      <c r="B3" s="170" t="s">
        <v>1210</v>
      </c>
      <c r="C3" s="170" t="s">
        <v>40</v>
      </c>
      <c r="D3" s="170" t="s">
        <v>1199</v>
      </c>
      <c r="E3" s="170" t="s">
        <v>1198</v>
      </c>
      <c r="F3" s="170" t="s">
        <v>40</v>
      </c>
      <c r="G3" s="170" t="s">
        <v>40</v>
      </c>
      <c r="H3" s="170" t="s">
        <v>39</v>
      </c>
      <c r="I3" s="394">
        <v>13481703.954747999</v>
      </c>
      <c r="J3" s="395">
        <v>1</v>
      </c>
      <c r="K3" s="395">
        <v>1</v>
      </c>
      <c r="L3" s="395">
        <v>1</v>
      </c>
      <c r="M3" s="394">
        <v>13481703.954747999</v>
      </c>
      <c r="N3" s="390">
        <v>2.5657559999999999E-2</v>
      </c>
    </row>
    <row r="4" spans="1:14">
      <c r="A4" s="170" t="s">
        <v>1209</v>
      </c>
      <c r="B4" s="170" t="s">
        <v>1020</v>
      </c>
      <c r="C4" s="170" t="s">
        <v>1208</v>
      </c>
      <c r="D4" s="170" t="s">
        <v>1207</v>
      </c>
      <c r="E4" s="170" t="s">
        <v>1207</v>
      </c>
      <c r="F4" s="170" t="s">
        <v>1206</v>
      </c>
      <c r="G4" s="170" t="s">
        <v>1205</v>
      </c>
      <c r="H4" s="170" t="s">
        <v>39</v>
      </c>
      <c r="I4" s="394">
        <v>201</v>
      </c>
      <c r="J4" s="395">
        <v>129.55000000000001</v>
      </c>
      <c r="K4" s="395">
        <v>1</v>
      </c>
      <c r="L4" s="395">
        <v>-342.98507499999999</v>
      </c>
      <c r="M4" s="394">
        <v>-68940</v>
      </c>
      <c r="N4" s="390">
        <v>-1.3119999999999999E-4</v>
      </c>
    </row>
    <row r="5" spans="1:14">
      <c r="A5" s="170" t="s">
        <v>1017</v>
      </c>
      <c r="B5" s="170" t="s">
        <v>1016</v>
      </c>
      <c r="C5" s="170" t="s">
        <v>1065</v>
      </c>
      <c r="D5" s="170" t="s">
        <v>588</v>
      </c>
      <c r="E5" s="170" t="s">
        <v>525</v>
      </c>
      <c r="F5" s="170" t="s">
        <v>463</v>
      </c>
      <c r="G5" s="170" t="s">
        <v>1204</v>
      </c>
      <c r="H5" s="170" t="s">
        <v>39</v>
      </c>
      <c r="I5" s="394">
        <v>1738000</v>
      </c>
      <c r="J5" s="395">
        <v>103.116</v>
      </c>
      <c r="K5" s="395">
        <v>1</v>
      </c>
      <c r="L5" s="395">
        <v>1.0578339999999999</v>
      </c>
      <c r="M5" s="394">
        <v>1838514.82</v>
      </c>
      <c r="N5" s="390">
        <v>3.4989499999999998E-3</v>
      </c>
    </row>
    <row r="6" spans="1:14">
      <c r="A6" s="170" t="s">
        <v>527</v>
      </c>
      <c r="B6" s="170" t="s">
        <v>526</v>
      </c>
      <c r="C6" s="170" t="s">
        <v>1065</v>
      </c>
      <c r="D6" s="170" t="s">
        <v>524</v>
      </c>
      <c r="E6" s="170" t="s">
        <v>525</v>
      </c>
      <c r="F6" s="170" t="s">
        <v>394</v>
      </c>
      <c r="G6" s="170" t="s">
        <v>1203</v>
      </c>
      <c r="H6" s="170" t="s">
        <v>39</v>
      </c>
      <c r="I6" s="394">
        <v>2727000</v>
      </c>
      <c r="J6" s="395">
        <v>98.292000000000002</v>
      </c>
      <c r="K6" s="395">
        <v>1</v>
      </c>
      <c r="L6" s="395">
        <v>0.99390900000000004</v>
      </c>
      <c r="M6" s="394">
        <v>2710390.92</v>
      </c>
      <c r="N6" s="390">
        <v>5.1582499999999996E-3</v>
      </c>
    </row>
    <row r="7" spans="1:14">
      <c r="A7" s="170" t="s">
        <v>1014</v>
      </c>
      <c r="B7" s="170" t="s">
        <v>1013</v>
      </c>
      <c r="C7" s="170" t="s">
        <v>1065</v>
      </c>
      <c r="D7" s="170" t="s">
        <v>612</v>
      </c>
      <c r="E7" s="170" t="s">
        <v>576</v>
      </c>
      <c r="F7" s="170" t="s">
        <v>428</v>
      </c>
      <c r="G7" s="170" t="s">
        <v>1202</v>
      </c>
      <c r="H7" s="170" t="s">
        <v>39</v>
      </c>
      <c r="I7" s="394">
        <v>3200000</v>
      </c>
      <c r="J7" s="395">
        <v>97.628</v>
      </c>
      <c r="K7" s="395">
        <v>1</v>
      </c>
      <c r="L7" s="395">
        <v>0.98660199999999998</v>
      </c>
      <c r="M7" s="394">
        <v>3157126.14</v>
      </c>
      <c r="N7" s="390">
        <v>6.0084500000000002E-3</v>
      </c>
    </row>
    <row r="8" spans="1:14">
      <c r="A8" s="170" t="s">
        <v>1011</v>
      </c>
      <c r="B8" s="170" t="s">
        <v>1010</v>
      </c>
      <c r="C8" s="170" t="s">
        <v>1065</v>
      </c>
      <c r="D8" s="170" t="s">
        <v>575</v>
      </c>
      <c r="E8" s="170" t="s">
        <v>576</v>
      </c>
      <c r="F8" s="170" t="s">
        <v>360</v>
      </c>
      <c r="G8" s="170" t="s">
        <v>1201</v>
      </c>
      <c r="H8" s="170" t="s">
        <v>39</v>
      </c>
      <c r="I8" s="394">
        <v>3200000</v>
      </c>
      <c r="J8" s="395">
        <v>103.91800000000001</v>
      </c>
      <c r="K8" s="395">
        <v>1</v>
      </c>
      <c r="L8" s="395">
        <v>1.061858</v>
      </c>
      <c r="M8" s="394">
        <v>3397945.86</v>
      </c>
      <c r="N8" s="390">
        <v>6.4667600000000002E-3</v>
      </c>
    </row>
    <row r="9" spans="1:14">
      <c r="A9" s="170" t="s">
        <v>493</v>
      </c>
      <c r="B9" s="170" t="s">
        <v>492</v>
      </c>
      <c r="C9" s="170" t="s">
        <v>1200</v>
      </c>
      <c r="D9" s="170" t="s">
        <v>1199</v>
      </c>
      <c r="E9" s="170" t="s">
        <v>1198</v>
      </c>
      <c r="F9" s="170" t="s">
        <v>1197</v>
      </c>
      <c r="G9" s="170" t="s">
        <v>40</v>
      </c>
      <c r="H9" s="170" t="s">
        <v>39</v>
      </c>
      <c r="I9" s="394">
        <v>9490</v>
      </c>
      <c r="J9" s="395">
        <v>4729.45</v>
      </c>
      <c r="K9" s="395">
        <v>1</v>
      </c>
      <c r="L9" s="395">
        <v>4729.45</v>
      </c>
      <c r="M9" s="394">
        <v>44882480.5</v>
      </c>
      <c r="N9" s="390">
        <v>8.5417610000000005E-2</v>
      </c>
    </row>
    <row r="10" spans="1:14">
      <c r="A10" s="170" t="s">
        <v>1008</v>
      </c>
      <c r="B10" s="170" t="s">
        <v>984</v>
      </c>
      <c r="C10" s="170" t="s">
        <v>1065</v>
      </c>
      <c r="D10" s="170" t="s">
        <v>622</v>
      </c>
      <c r="E10" s="170" t="s">
        <v>287</v>
      </c>
      <c r="F10" s="170" t="s">
        <v>345</v>
      </c>
      <c r="G10" s="170" t="s">
        <v>1079</v>
      </c>
      <c r="H10" s="170" t="s">
        <v>39</v>
      </c>
      <c r="I10" s="394">
        <v>900000</v>
      </c>
      <c r="J10" s="395">
        <v>99.87</v>
      </c>
      <c r="K10" s="395">
        <v>1</v>
      </c>
      <c r="L10" s="395">
        <v>1.0089399999999999</v>
      </c>
      <c r="M10" s="394">
        <v>908045.75</v>
      </c>
      <c r="N10" s="390">
        <v>1.72814E-3</v>
      </c>
    </row>
    <row r="11" spans="1:14">
      <c r="A11" s="170" t="s">
        <v>1007</v>
      </c>
      <c r="B11" s="170" t="s">
        <v>1006</v>
      </c>
      <c r="C11" s="170" t="s">
        <v>1065</v>
      </c>
      <c r="D11" s="170" t="s">
        <v>612</v>
      </c>
      <c r="E11" s="170" t="s">
        <v>287</v>
      </c>
      <c r="F11" s="170" t="s">
        <v>470</v>
      </c>
      <c r="G11" s="170" t="s">
        <v>1079</v>
      </c>
      <c r="H11" s="170" t="s">
        <v>39</v>
      </c>
      <c r="I11" s="394">
        <v>1600000</v>
      </c>
      <c r="J11" s="395">
        <v>99.409000000000006</v>
      </c>
      <c r="K11" s="395">
        <v>1</v>
      </c>
      <c r="L11" s="395">
        <v>1.003295</v>
      </c>
      <c r="M11" s="394">
        <v>1605272.77</v>
      </c>
      <c r="N11" s="390">
        <v>3.0550600000000001E-3</v>
      </c>
    </row>
    <row r="12" spans="1:14">
      <c r="A12" s="170" t="s">
        <v>1005</v>
      </c>
      <c r="B12" s="170" t="s">
        <v>1004</v>
      </c>
      <c r="C12" s="170" t="s">
        <v>1065</v>
      </c>
      <c r="D12" s="170" t="s">
        <v>567</v>
      </c>
      <c r="E12" s="170" t="s">
        <v>287</v>
      </c>
      <c r="F12" s="170" t="s">
        <v>378</v>
      </c>
      <c r="G12" s="170" t="s">
        <v>1079</v>
      </c>
      <c r="H12" s="170" t="s">
        <v>39</v>
      </c>
      <c r="I12" s="394">
        <v>1300000</v>
      </c>
      <c r="J12" s="395">
        <v>94.823999999999998</v>
      </c>
      <c r="K12" s="395">
        <v>1</v>
      </c>
      <c r="L12" s="395">
        <v>0.96367800000000003</v>
      </c>
      <c r="M12" s="394">
        <v>1252781.8600000001</v>
      </c>
      <c r="N12" s="390">
        <v>2.3842199999999998E-3</v>
      </c>
    </row>
    <row r="13" spans="1:14">
      <c r="A13" s="170" t="s">
        <v>1003</v>
      </c>
      <c r="B13" s="170" t="s">
        <v>1002</v>
      </c>
      <c r="C13" s="170" t="s">
        <v>1065</v>
      </c>
      <c r="D13" s="170" t="s">
        <v>544</v>
      </c>
      <c r="E13" s="170" t="s">
        <v>287</v>
      </c>
      <c r="F13" s="170" t="s">
        <v>1196</v>
      </c>
      <c r="G13" s="170" t="s">
        <v>1079</v>
      </c>
      <c r="H13" s="170" t="s">
        <v>39</v>
      </c>
      <c r="I13" s="394">
        <v>4200000</v>
      </c>
      <c r="J13" s="395">
        <v>95.572999999999993</v>
      </c>
      <c r="K13" s="395">
        <v>1</v>
      </c>
      <c r="L13" s="395">
        <v>0.96497699999999997</v>
      </c>
      <c r="M13" s="394">
        <v>4052901.62</v>
      </c>
      <c r="N13" s="390">
        <v>7.7132399999999997E-3</v>
      </c>
    </row>
    <row r="14" spans="1:14">
      <c r="A14" s="170" t="s">
        <v>1001</v>
      </c>
      <c r="B14" s="170" t="s">
        <v>1000</v>
      </c>
      <c r="C14" s="170" t="s">
        <v>1065</v>
      </c>
      <c r="D14" s="170" t="s">
        <v>622</v>
      </c>
      <c r="E14" s="170" t="s">
        <v>287</v>
      </c>
      <c r="F14" s="170" t="s">
        <v>477</v>
      </c>
      <c r="G14" s="170" t="s">
        <v>1195</v>
      </c>
      <c r="H14" s="170" t="s">
        <v>39</v>
      </c>
      <c r="I14" s="394">
        <v>2200000</v>
      </c>
      <c r="J14" s="395">
        <v>90.965000000000003</v>
      </c>
      <c r="K14" s="395">
        <v>1</v>
      </c>
      <c r="L14" s="395">
        <v>0.92062900000000003</v>
      </c>
      <c r="M14" s="394">
        <v>2025384.79</v>
      </c>
      <c r="N14" s="390">
        <v>3.8545900000000002E-3</v>
      </c>
    </row>
    <row r="15" spans="1:14">
      <c r="A15" s="170" t="s">
        <v>998</v>
      </c>
      <c r="B15" s="170" t="s">
        <v>997</v>
      </c>
      <c r="C15" s="170" t="s">
        <v>1065</v>
      </c>
      <c r="D15" s="170" t="s">
        <v>567</v>
      </c>
      <c r="E15" s="170" t="s">
        <v>287</v>
      </c>
      <c r="F15" s="170" t="s">
        <v>412</v>
      </c>
      <c r="G15" s="170" t="s">
        <v>1096</v>
      </c>
      <c r="H15" s="170" t="s">
        <v>39</v>
      </c>
      <c r="I15" s="394">
        <v>2300000</v>
      </c>
      <c r="J15" s="395">
        <v>107.53400000000001</v>
      </c>
      <c r="K15" s="395">
        <v>1</v>
      </c>
      <c r="L15" s="395">
        <v>1.1060080000000001</v>
      </c>
      <c r="M15" s="394">
        <v>2543817.96</v>
      </c>
      <c r="N15" s="390">
        <v>4.8412400000000001E-3</v>
      </c>
    </row>
    <row r="16" spans="1:14">
      <c r="A16" s="170" t="s">
        <v>996</v>
      </c>
      <c r="B16" s="170" t="s">
        <v>995</v>
      </c>
      <c r="C16" s="170" t="s">
        <v>1065</v>
      </c>
      <c r="D16" s="170" t="s">
        <v>588</v>
      </c>
      <c r="E16" s="170" t="s">
        <v>287</v>
      </c>
      <c r="F16" s="170" t="s">
        <v>479</v>
      </c>
      <c r="G16" s="170" t="s">
        <v>1079</v>
      </c>
      <c r="H16" s="170" t="s">
        <v>39</v>
      </c>
      <c r="I16" s="394">
        <v>2500000</v>
      </c>
      <c r="J16" s="395">
        <v>105.86199999999999</v>
      </c>
      <c r="K16" s="395">
        <v>1</v>
      </c>
      <c r="L16" s="395">
        <v>1.0592630000000001</v>
      </c>
      <c r="M16" s="394">
        <v>2648157.67</v>
      </c>
      <c r="N16" s="390">
        <v>5.0398099999999996E-3</v>
      </c>
    </row>
    <row r="17" spans="1:14">
      <c r="A17" s="170" t="s">
        <v>994</v>
      </c>
      <c r="B17" s="170" t="s">
        <v>993</v>
      </c>
      <c r="C17" s="170" t="s">
        <v>1065</v>
      </c>
      <c r="D17" s="170" t="s">
        <v>544</v>
      </c>
      <c r="E17" s="170" t="s">
        <v>287</v>
      </c>
      <c r="F17" s="170" t="s">
        <v>433</v>
      </c>
      <c r="G17" s="170" t="s">
        <v>1079</v>
      </c>
      <c r="H17" s="170" t="s">
        <v>39</v>
      </c>
      <c r="I17" s="394">
        <v>2000000</v>
      </c>
      <c r="J17" s="395">
        <v>105.31699999999999</v>
      </c>
      <c r="K17" s="395">
        <v>1</v>
      </c>
      <c r="L17" s="395">
        <v>1.064403</v>
      </c>
      <c r="M17" s="394">
        <v>2128805.75</v>
      </c>
      <c r="N17" s="390">
        <v>4.0514100000000001E-3</v>
      </c>
    </row>
    <row r="18" spans="1:14">
      <c r="A18" s="170" t="s">
        <v>992</v>
      </c>
      <c r="B18" s="170" t="s">
        <v>991</v>
      </c>
      <c r="C18" s="170" t="s">
        <v>1065</v>
      </c>
      <c r="D18" s="170" t="s">
        <v>567</v>
      </c>
      <c r="E18" s="170" t="s">
        <v>287</v>
      </c>
      <c r="F18" s="170" t="s">
        <v>412</v>
      </c>
      <c r="G18" s="170" t="s">
        <v>1100</v>
      </c>
      <c r="H18" s="170" t="s">
        <v>39</v>
      </c>
      <c r="I18" s="394">
        <v>800000</v>
      </c>
      <c r="J18" s="395">
        <v>101.881</v>
      </c>
      <c r="K18" s="395">
        <v>1</v>
      </c>
      <c r="L18" s="395">
        <v>1.0546580000000001</v>
      </c>
      <c r="M18" s="394">
        <v>843726.45</v>
      </c>
      <c r="N18" s="390">
        <v>1.6057300000000001E-3</v>
      </c>
    </row>
    <row r="19" spans="1:14">
      <c r="A19" s="170" t="s">
        <v>990</v>
      </c>
      <c r="B19" s="170" t="s">
        <v>989</v>
      </c>
      <c r="C19" s="170" t="s">
        <v>1065</v>
      </c>
      <c r="D19" s="170" t="s">
        <v>642</v>
      </c>
      <c r="E19" s="170" t="s">
        <v>287</v>
      </c>
      <c r="F19" s="170" t="s">
        <v>365</v>
      </c>
      <c r="G19" s="170" t="s">
        <v>1194</v>
      </c>
      <c r="H19" s="170" t="s">
        <v>39</v>
      </c>
      <c r="I19" s="394">
        <v>3900000</v>
      </c>
      <c r="J19" s="395">
        <v>101.765</v>
      </c>
      <c r="K19" s="395">
        <v>1</v>
      </c>
      <c r="L19" s="395">
        <v>1.046098</v>
      </c>
      <c r="M19" s="394">
        <v>4079783.7</v>
      </c>
      <c r="N19" s="390">
        <v>7.7644000000000003E-3</v>
      </c>
    </row>
    <row r="20" spans="1:14">
      <c r="A20" s="170" t="s">
        <v>988</v>
      </c>
      <c r="B20" s="170" t="s">
        <v>987</v>
      </c>
      <c r="C20" s="170" t="s">
        <v>1065</v>
      </c>
      <c r="D20" s="170" t="s">
        <v>575</v>
      </c>
      <c r="E20" s="170" t="s">
        <v>287</v>
      </c>
      <c r="F20" s="170" t="s">
        <v>344</v>
      </c>
      <c r="G20" s="170" t="s">
        <v>1193</v>
      </c>
      <c r="H20" s="170" t="s">
        <v>39</v>
      </c>
      <c r="I20" s="394">
        <v>1600000</v>
      </c>
      <c r="J20" s="395">
        <v>101.651</v>
      </c>
      <c r="K20" s="395">
        <v>1</v>
      </c>
      <c r="L20" s="395">
        <v>1.031253</v>
      </c>
      <c r="M20" s="394">
        <v>1650005.04</v>
      </c>
      <c r="N20" s="390">
        <v>3.1401900000000002E-3</v>
      </c>
    </row>
    <row r="21" spans="1:14">
      <c r="A21" s="170" t="s">
        <v>985</v>
      </c>
      <c r="B21" s="170" t="s">
        <v>984</v>
      </c>
      <c r="C21" s="170" t="s">
        <v>1065</v>
      </c>
      <c r="D21" s="170" t="s">
        <v>622</v>
      </c>
      <c r="E21" s="170" t="s">
        <v>287</v>
      </c>
      <c r="F21" s="170" t="s">
        <v>345</v>
      </c>
      <c r="G21" s="170" t="s">
        <v>1079</v>
      </c>
      <c r="H21" s="170" t="s">
        <v>39</v>
      </c>
      <c r="I21" s="394">
        <v>2900000</v>
      </c>
      <c r="J21" s="395">
        <v>101.854</v>
      </c>
      <c r="K21" s="395">
        <v>1</v>
      </c>
      <c r="L21" s="395">
        <v>1.038708</v>
      </c>
      <c r="M21" s="394">
        <v>3012252.64</v>
      </c>
      <c r="N21" s="390">
        <v>5.7327400000000001E-3</v>
      </c>
    </row>
    <row r="22" spans="1:14">
      <c r="A22" s="170" t="s">
        <v>983</v>
      </c>
      <c r="B22" s="170" t="s">
        <v>982</v>
      </c>
      <c r="C22" s="170" t="s">
        <v>1065</v>
      </c>
      <c r="D22" s="170" t="s">
        <v>669</v>
      </c>
      <c r="E22" s="170" t="s">
        <v>287</v>
      </c>
      <c r="F22" s="170" t="s">
        <v>355</v>
      </c>
      <c r="G22" s="170" t="s">
        <v>1192</v>
      </c>
      <c r="H22" s="170" t="s">
        <v>39</v>
      </c>
      <c r="I22" s="394">
        <v>5000000</v>
      </c>
      <c r="J22" s="395">
        <v>101.113</v>
      </c>
      <c r="K22" s="395">
        <v>1</v>
      </c>
      <c r="L22" s="395">
        <v>1.021096</v>
      </c>
      <c r="M22" s="394">
        <v>5105478.7699999996</v>
      </c>
      <c r="N22" s="390">
        <v>9.7164399999999998E-3</v>
      </c>
    </row>
    <row r="23" spans="1:14">
      <c r="A23" s="170" t="s">
        <v>980</v>
      </c>
      <c r="B23" s="170" t="s">
        <v>979</v>
      </c>
      <c r="C23" s="170" t="s">
        <v>1065</v>
      </c>
      <c r="D23" s="170" t="s">
        <v>513</v>
      </c>
      <c r="E23" s="170" t="s">
        <v>287</v>
      </c>
      <c r="F23" s="170" t="s">
        <v>485</v>
      </c>
      <c r="G23" s="170" t="s">
        <v>1191</v>
      </c>
      <c r="H23" s="170" t="s">
        <v>39</v>
      </c>
      <c r="I23" s="394">
        <v>4700000</v>
      </c>
      <c r="J23" s="395">
        <v>99.400999999999996</v>
      </c>
      <c r="K23" s="395">
        <v>1</v>
      </c>
      <c r="L23" s="395">
        <v>0.99400999999999995</v>
      </c>
      <c r="M23" s="394">
        <v>4671847</v>
      </c>
      <c r="N23" s="390">
        <v>8.8911800000000003E-3</v>
      </c>
    </row>
    <row r="24" spans="1:14">
      <c r="A24" s="170" t="s">
        <v>977</v>
      </c>
      <c r="B24" s="170" t="s">
        <v>976</v>
      </c>
      <c r="C24" s="170" t="s">
        <v>1065</v>
      </c>
      <c r="D24" s="170" t="s">
        <v>544</v>
      </c>
      <c r="E24" s="170" t="s">
        <v>298</v>
      </c>
      <c r="F24" s="170" t="s">
        <v>440</v>
      </c>
      <c r="G24" s="170" t="s">
        <v>1190</v>
      </c>
      <c r="H24" s="170" t="s">
        <v>39</v>
      </c>
      <c r="I24" s="394">
        <v>3100000</v>
      </c>
      <c r="J24" s="395">
        <v>102.208</v>
      </c>
      <c r="K24" s="395">
        <v>1</v>
      </c>
      <c r="L24" s="395">
        <v>1.0436209999999999</v>
      </c>
      <c r="M24" s="394">
        <v>3235225.4</v>
      </c>
      <c r="N24" s="390">
        <v>6.1570799999999997E-3</v>
      </c>
    </row>
    <row r="25" spans="1:14">
      <c r="A25" s="170" t="s">
        <v>974</v>
      </c>
      <c r="B25" s="170" t="s">
        <v>973</v>
      </c>
      <c r="C25" s="170" t="s">
        <v>1065</v>
      </c>
      <c r="D25" s="170" t="s">
        <v>544</v>
      </c>
      <c r="E25" s="170" t="s">
        <v>298</v>
      </c>
      <c r="F25" s="170" t="s">
        <v>440</v>
      </c>
      <c r="G25" s="170" t="s">
        <v>1189</v>
      </c>
      <c r="H25" s="170" t="s">
        <v>39</v>
      </c>
      <c r="I25" s="394">
        <v>4500000</v>
      </c>
      <c r="J25" s="395">
        <v>98.018000000000001</v>
      </c>
      <c r="K25" s="395">
        <v>1</v>
      </c>
      <c r="L25" s="395">
        <v>0.98724800000000001</v>
      </c>
      <c r="M25" s="394">
        <v>4442618.22</v>
      </c>
      <c r="N25" s="390">
        <v>8.4549199999999994E-3</v>
      </c>
    </row>
    <row r="26" spans="1:14">
      <c r="A26" s="170" t="s">
        <v>1025</v>
      </c>
      <c r="B26" s="170" t="s">
        <v>1024</v>
      </c>
      <c r="C26" s="170" t="s">
        <v>1188</v>
      </c>
      <c r="D26" s="170" t="s">
        <v>1188</v>
      </c>
      <c r="E26" s="170" t="s">
        <v>40</v>
      </c>
      <c r="F26" s="170" t="s">
        <v>1187</v>
      </c>
      <c r="G26" s="170" t="s">
        <v>1186</v>
      </c>
      <c r="H26" s="170" t="s">
        <v>39</v>
      </c>
      <c r="I26" s="394">
        <v>-73200000</v>
      </c>
      <c r="J26" s="395">
        <v>10.52946</v>
      </c>
      <c r="K26" s="395">
        <v>1</v>
      </c>
      <c r="L26" s="395">
        <v>0.105295</v>
      </c>
      <c r="M26" s="394">
        <v>-7707564.7300000004</v>
      </c>
      <c r="N26" s="390">
        <v>-1.4668570000000001E-2</v>
      </c>
    </row>
    <row r="27" spans="1:14">
      <c r="A27" s="170" t="s">
        <v>1034</v>
      </c>
      <c r="B27" s="170" t="s">
        <v>1033</v>
      </c>
      <c r="C27" s="170" t="s">
        <v>1183</v>
      </c>
      <c r="D27" s="170" t="s">
        <v>497</v>
      </c>
      <c r="E27" s="170" t="s">
        <v>287</v>
      </c>
      <c r="F27" s="170" t="s">
        <v>1185</v>
      </c>
      <c r="G27" s="170" t="s">
        <v>40</v>
      </c>
      <c r="H27" s="170" t="s">
        <v>39</v>
      </c>
      <c r="I27" s="394">
        <v>58200</v>
      </c>
      <c r="J27" s="395">
        <v>1E-3</v>
      </c>
      <c r="K27" s="395">
        <v>1</v>
      </c>
      <c r="L27" s="395">
        <v>1E-3</v>
      </c>
      <c r="M27" s="394">
        <v>58.2</v>
      </c>
      <c r="N27" s="390">
        <v>1.1000000000000001E-7</v>
      </c>
    </row>
    <row r="28" spans="1:14">
      <c r="A28" s="170" t="s">
        <v>1032</v>
      </c>
      <c r="B28" s="170" t="s">
        <v>1031</v>
      </c>
      <c r="C28" s="170" t="s">
        <v>1183</v>
      </c>
      <c r="D28" s="170" t="s">
        <v>544</v>
      </c>
      <c r="E28" s="170" t="s">
        <v>532</v>
      </c>
      <c r="F28" s="170" t="s">
        <v>1184</v>
      </c>
      <c r="G28" s="170" t="s">
        <v>40</v>
      </c>
      <c r="H28" s="170" t="s">
        <v>319</v>
      </c>
      <c r="I28" s="394">
        <v>4000</v>
      </c>
      <c r="J28" s="395">
        <v>1E-3</v>
      </c>
      <c r="K28" s="395">
        <v>1.1705000000000001</v>
      </c>
      <c r="L28" s="395">
        <v>8.5499999999999997E-4</v>
      </c>
      <c r="M28" s="394">
        <v>3.42</v>
      </c>
      <c r="N28" s="390">
        <v>1E-8</v>
      </c>
    </row>
    <row r="29" spans="1:14">
      <c r="A29" s="170" t="s">
        <v>1028</v>
      </c>
      <c r="B29" s="170" t="s">
        <v>1027</v>
      </c>
      <c r="C29" s="170" t="s">
        <v>1183</v>
      </c>
      <c r="D29" s="170" t="s">
        <v>544</v>
      </c>
      <c r="E29" s="170" t="s">
        <v>532</v>
      </c>
      <c r="F29" s="170" t="s">
        <v>1182</v>
      </c>
      <c r="G29" s="170" t="s">
        <v>40</v>
      </c>
      <c r="H29" s="170" t="s">
        <v>319</v>
      </c>
      <c r="I29" s="394">
        <v>125000</v>
      </c>
      <c r="J29" s="395">
        <v>1E-3</v>
      </c>
      <c r="K29" s="395">
        <v>1.1705000000000001</v>
      </c>
      <c r="L29" s="395">
        <v>8.5400000000000005E-4</v>
      </c>
      <c r="M29" s="394">
        <v>106.79</v>
      </c>
      <c r="N29" s="390">
        <v>1.9999999999999999E-7</v>
      </c>
    </row>
    <row r="30" spans="1:14">
      <c r="A30" s="170" t="s">
        <v>971</v>
      </c>
      <c r="B30" s="170" t="s">
        <v>970</v>
      </c>
      <c r="C30" s="170" t="s">
        <v>1065</v>
      </c>
      <c r="D30" s="170" t="s">
        <v>567</v>
      </c>
      <c r="E30" s="170" t="s">
        <v>532</v>
      </c>
      <c r="F30" s="170" t="s">
        <v>375</v>
      </c>
      <c r="G30" s="170" t="s">
        <v>1181</v>
      </c>
      <c r="H30" s="170" t="s">
        <v>319</v>
      </c>
      <c r="I30" s="394">
        <v>1250000</v>
      </c>
      <c r="J30" s="395">
        <v>1E-3</v>
      </c>
      <c r="K30" s="395">
        <v>1.1705000000000001</v>
      </c>
      <c r="L30" s="395">
        <v>9.0000000000000002E-6</v>
      </c>
      <c r="M30" s="394">
        <v>10.68</v>
      </c>
      <c r="N30" s="390">
        <v>2E-8</v>
      </c>
    </row>
    <row r="31" spans="1:14">
      <c r="A31" s="170" t="s">
        <v>968</v>
      </c>
      <c r="B31" s="170" t="s">
        <v>967</v>
      </c>
      <c r="C31" s="170" t="s">
        <v>1065</v>
      </c>
      <c r="D31" s="170" t="s">
        <v>551</v>
      </c>
      <c r="E31" s="170" t="s">
        <v>293</v>
      </c>
      <c r="F31" s="170" t="s">
        <v>430</v>
      </c>
      <c r="G31" s="170" t="s">
        <v>1079</v>
      </c>
      <c r="H31" s="170" t="s">
        <v>39</v>
      </c>
      <c r="I31" s="394">
        <v>4040000</v>
      </c>
      <c r="J31" s="395">
        <v>99.274000000000001</v>
      </c>
      <c r="K31" s="395">
        <v>1</v>
      </c>
      <c r="L31" s="395">
        <v>1.018829</v>
      </c>
      <c r="M31" s="394">
        <v>4116069.33</v>
      </c>
      <c r="N31" s="390">
        <v>7.8334500000000005E-3</v>
      </c>
    </row>
    <row r="32" spans="1:14">
      <c r="A32" s="170" t="s">
        <v>966</v>
      </c>
      <c r="B32" s="170" t="s">
        <v>965</v>
      </c>
      <c r="C32" s="170" t="s">
        <v>1065</v>
      </c>
      <c r="D32" s="170" t="s">
        <v>588</v>
      </c>
      <c r="E32" s="170" t="s">
        <v>293</v>
      </c>
      <c r="F32" s="170" t="s">
        <v>410</v>
      </c>
      <c r="G32" s="170" t="s">
        <v>1180</v>
      </c>
      <c r="H32" s="170" t="s">
        <v>39</v>
      </c>
      <c r="I32" s="394">
        <v>1921000</v>
      </c>
      <c r="J32" s="395">
        <v>98.751000000000005</v>
      </c>
      <c r="K32" s="395">
        <v>1</v>
      </c>
      <c r="L32" s="395">
        <v>0.990448</v>
      </c>
      <c r="M32" s="394">
        <v>1902649.65</v>
      </c>
      <c r="N32" s="390">
        <v>3.62101E-3</v>
      </c>
    </row>
    <row r="33" spans="1:14">
      <c r="A33" s="170" t="s">
        <v>963</v>
      </c>
      <c r="B33" s="170" t="s">
        <v>962</v>
      </c>
      <c r="C33" s="170" t="s">
        <v>1065</v>
      </c>
      <c r="D33" s="170" t="s">
        <v>567</v>
      </c>
      <c r="E33" s="170" t="s">
        <v>287</v>
      </c>
      <c r="F33" s="170" t="s">
        <v>476</v>
      </c>
      <c r="G33" s="170" t="s">
        <v>1179</v>
      </c>
      <c r="H33" s="170" t="s">
        <v>39</v>
      </c>
      <c r="I33" s="394">
        <v>2500000</v>
      </c>
      <c r="J33" s="395">
        <v>86.622</v>
      </c>
      <c r="K33" s="395">
        <v>1</v>
      </c>
      <c r="L33" s="395">
        <v>0.87906399999999996</v>
      </c>
      <c r="M33" s="394">
        <v>2197659.38</v>
      </c>
      <c r="N33" s="390">
        <v>4.1824499999999999E-3</v>
      </c>
    </row>
    <row r="34" spans="1:14">
      <c r="A34" s="170" t="s">
        <v>960</v>
      </c>
      <c r="B34" s="170" t="s">
        <v>959</v>
      </c>
      <c r="C34" s="170" t="s">
        <v>1065</v>
      </c>
      <c r="D34" s="170" t="s">
        <v>497</v>
      </c>
      <c r="E34" s="170" t="s">
        <v>576</v>
      </c>
      <c r="F34" s="170" t="s">
        <v>411</v>
      </c>
      <c r="G34" s="170" t="s">
        <v>1079</v>
      </c>
      <c r="H34" s="170" t="s">
        <v>39</v>
      </c>
      <c r="I34" s="394">
        <v>3400000</v>
      </c>
      <c r="J34" s="395">
        <v>100.545</v>
      </c>
      <c r="K34" s="395">
        <v>1</v>
      </c>
      <c r="L34" s="395">
        <v>1.020745</v>
      </c>
      <c r="M34" s="394">
        <v>3470531.37</v>
      </c>
      <c r="N34" s="390">
        <v>6.6049000000000004E-3</v>
      </c>
    </row>
    <row r="35" spans="1:14">
      <c r="A35" s="170" t="s">
        <v>958</v>
      </c>
      <c r="B35" s="170" t="s">
        <v>957</v>
      </c>
      <c r="C35" s="170" t="s">
        <v>1065</v>
      </c>
      <c r="D35" s="170" t="s">
        <v>612</v>
      </c>
      <c r="E35" s="170" t="s">
        <v>685</v>
      </c>
      <c r="F35" s="170" t="s">
        <v>468</v>
      </c>
      <c r="G35" s="170" t="s">
        <v>1178</v>
      </c>
      <c r="H35" s="170" t="s">
        <v>39</v>
      </c>
      <c r="I35" s="394">
        <v>1376000</v>
      </c>
      <c r="J35" s="395">
        <v>97.287000000000006</v>
      </c>
      <c r="K35" s="395">
        <v>1</v>
      </c>
      <c r="L35" s="395">
        <v>0.97464799999999996</v>
      </c>
      <c r="M35" s="394">
        <v>1341115.3400000001</v>
      </c>
      <c r="N35" s="390">
        <v>2.5523299999999998E-3</v>
      </c>
    </row>
    <row r="36" spans="1:14">
      <c r="A36" s="170" t="s">
        <v>955</v>
      </c>
      <c r="B36" s="170" t="s">
        <v>954</v>
      </c>
      <c r="C36" s="170" t="s">
        <v>1065</v>
      </c>
      <c r="D36" s="170" t="s">
        <v>508</v>
      </c>
      <c r="E36" s="170" t="s">
        <v>293</v>
      </c>
      <c r="F36" s="170" t="s">
        <v>471</v>
      </c>
      <c r="G36" s="170" t="s">
        <v>1151</v>
      </c>
      <c r="H36" s="170" t="s">
        <v>39</v>
      </c>
      <c r="I36" s="394">
        <v>1925000</v>
      </c>
      <c r="J36" s="395">
        <v>97.14</v>
      </c>
      <c r="K36" s="395">
        <v>1</v>
      </c>
      <c r="L36" s="395">
        <v>0.97301499999999996</v>
      </c>
      <c r="M36" s="394">
        <v>1873053.07</v>
      </c>
      <c r="N36" s="390">
        <v>3.5646800000000002E-3</v>
      </c>
    </row>
    <row r="37" spans="1:14">
      <c r="A37" s="170" t="s">
        <v>953</v>
      </c>
      <c r="B37" s="170" t="s">
        <v>952</v>
      </c>
      <c r="C37" s="170" t="s">
        <v>1065</v>
      </c>
      <c r="D37" s="170" t="s">
        <v>508</v>
      </c>
      <c r="E37" s="170" t="s">
        <v>532</v>
      </c>
      <c r="F37" s="170" t="s">
        <v>340</v>
      </c>
      <c r="G37" s="170" t="s">
        <v>1177</v>
      </c>
      <c r="H37" s="170" t="s">
        <v>39</v>
      </c>
      <c r="I37" s="394">
        <v>2900000</v>
      </c>
      <c r="J37" s="395">
        <v>73.619</v>
      </c>
      <c r="K37" s="395">
        <v>1</v>
      </c>
      <c r="L37" s="395">
        <v>0.73942600000000003</v>
      </c>
      <c r="M37" s="394">
        <v>2144336.27</v>
      </c>
      <c r="N37" s="390">
        <v>4.0809699999999997E-3</v>
      </c>
    </row>
    <row r="38" spans="1:14">
      <c r="A38" s="170" t="s">
        <v>950</v>
      </c>
      <c r="B38" s="170" t="s">
        <v>949</v>
      </c>
      <c r="C38" s="170" t="s">
        <v>1065</v>
      </c>
      <c r="D38" s="170" t="s">
        <v>588</v>
      </c>
      <c r="E38" s="170" t="s">
        <v>532</v>
      </c>
      <c r="F38" s="170" t="s">
        <v>357</v>
      </c>
      <c r="G38" s="170" t="s">
        <v>1176</v>
      </c>
      <c r="H38" s="170" t="s">
        <v>39</v>
      </c>
      <c r="I38" s="394">
        <v>2643000</v>
      </c>
      <c r="J38" s="395">
        <v>97.221999999999994</v>
      </c>
      <c r="K38" s="395">
        <v>1</v>
      </c>
      <c r="L38" s="395">
        <v>0.97515700000000005</v>
      </c>
      <c r="M38" s="394">
        <v>2577341.27</v>
      </c>
      <c r="N38" s="390">
        <v>4.9050400000000003E-3</v>
      </c>
    </row>
    <row r="39" spans="1:14">
      <c r="A39" s="170" t="s">
        <v>947</v>
      </c>
      <c r="B39" s="170" t="s">
        <v>946</v>
      </c>
      <c r="C39" s="170" t="s">
        <v>1065</v>
      </c>
      <c r="D39" s="170" t="s">
        <v>551</v>
      </c>
      <c r="E39" s="170" t="s">
        <v>532</v>
      </c>
      <c r="F39" s="170" t="s">
        <v>465</v>
      </c>
      <c r="G39" s="170" t="s">
        <v>1175</v>
      </c>
      <c r="H39" s="170" t="s">
        <v>39</v>
      </c>
      <c r="I39" s="394">
        <v>2376000</v>
      </c>
      <c r="J39" s="395">
        <v>100.062</v>
      </c>
      <c r="K39" s="395">
        <v>1</v>
      </c>
      <c r="L39" s="395">
        <v>1.005679</v>
      </c>
      <c r="M39" s="394">
        <v>2389493.37</v>
      </c>
      <c r="N39" s="390">
        <v>4.5475400000000001E-3</v>
      </c>
    </row>
    <row r="40" spans="1:14">
      <c r="A40" s="170" t="s">
        <v>944</v>
      </c>
      <c r="B40" s="170" t="s">
        <v>943</v>
      </c>
      <c r="C40" s="170" t="s">
        <v>1065</v>
      </c>
      <c r="D40" s="170" t="s">
        <v>575</v>
      </c>
      <c r="E40" s="170" t="s">
        <v>287</v>
      </c>
      <c r="F40" s="170" t="s">
        <v>425</v>
      </c>
      <c r="G40" s="170" t="s">
        <v>1165</v>
      </c>
      <c r="H40" s="170" t="s">
        <v>39</v>
      </c>
      <c r="I40" s="394">
        <v>778000</v>
      </c>
      <c r="J40" s="395">
        <v>99.929000000000002</v>
      </c>
      <c r="K40" s="395">
        <v>1</v>
      </c>
      <c r="L40" s="395">
        <v>1.0073110000000001</v>
      </c>
      <c r="M40" s="394">
        <v>783687.83</v>
      </c>
      <c r="N40" s="390">
        <v>1.4914699999999999E-3</v>
      </c>
    </row>
    <row r="41" spans="1:14">
      <c r="A41" s="170" t="s">
        <v>942</v>
      </c>
      <c r="B41" s="170" t="s">
        <v>941</v>
      </c>
      <c r="C41" s="170" t="s">
        <v>1065</v>
      </c>
      <c r="D41" s="170" t="s">
        <v>567</v>
      </c>
      <c r="E41" s="170" t="s">
        <v>514</v>
      </c>
      <c r="F41" s="170" t="s">
        <v>338</v>
      </c>
      <c r="G41" s="170" t="s">
        <v>1174</v>
      </c>
      <c r="H41" s="170" t="s">
        <v>39</v>
      </c>
      <c r="I41" s="394">
        <v>5542000</v>
      </c>
      <c r="J41" s="395">
        <v>96.028000000000006</v>
      </c>
      <c r="K41" s="395">
        <v>1</v>
      </c>
      <c r="L41" s="395">
        <v>0.96077299999999999</v>
      </c>
      <c r="M41" s="394">
        <v>5324604.8</v>
      </c>
      <c r="N41" s="390">
        <v>1.013346E-2</v>
      </c>
    </row>
    <row r="42" spans="1:14">
      <c r="A42" s="170" t="s">
        <v>939</v>
      </c>
      <c r="B42" s="170" t="s">
        <v>938</v>
      </c>
      <c r="C42" s="170" t="s">
        <v>1065</v>
      </c>
      <c r="D42" s="170" t="s">
        <v>567</v>
      </c>
      <c r="E42" s="170" t="s">
        <v>571</v>
      </c>
      <c r="F42" s="170" t="s">
        <v>399</v>
      </c>
      <c r="G42" s="170" t="s">
        <v>1173</v>
      </c>
      <c r="H42" s="170" t="s">
        <v>39</v>
      </c>
      <c r="I42" s="394">
        <v>4496000</v>
      </c>
      <c r="J42" s="395">
        <v>100.149</v>
      </c>
      <c r="K42" s="395">
        <v>1</v>
      </c>
      <c r="L42" s="395">
        <v>1.020046</v>
      </c>
      <c r="M42" s="394">
        <v>4586124.82</v>
      </c>
      <c r="N42" s="390">
        <v>8.7280299999999995E-3</v>
      </c>
    </row>
    <row r="43" spans="1:14">
      <c r="A43" s="170" t="s">
        <v>936</v>
      </c>
      <c r="B43" s="170" t="s">
        <v>935</v>
      </c>
      <c r="C43" s="170" t="s">
        <v>1065</v>
      </c>
      <c r="D43" s="170" t="s">
        <v>588</v>
      </c>
      <c r="E43" s="170" t="s">
        <v>934</v>
      </c>
      <c r="F43" s="170" t="s">
        <v>458</v>
      </c>
      <c r="G43" s="170" t="s">
        <v>1172</v>
      </c>
      <c r="H43" s="170" t="s">
        <v>39</v>
      </c>
      <c r="I43" s="394">
        <v>3208000</v>
      </c>
      <c r="J43" s="395">
        <v>98.679000000000002</v>
      </c>
      <c r="K43" s="395">
        <v>1</v>
      </c>
      <c r="L43" s="395">
        <v>0.99477300000000002</v>
      </c>
      <c r="M43" s="394">
        <v>3191230.63</v>
      </c>
      <c r="N43" s="390">
        <v>6.0733599999999999E-3</v>
      </c>
    </row>
    <row r="44" spans="1:14">
      <c r="A44" s="170" t="s">
        <v>932</v>
      </c>
      <c r="B44" s="170" t="s">
        <v>931</v>
      </c>
      <c r="C44" s="170" t="s">
        <v>1065</v>
      </c>
      <c r="D44" s="170" t="s">
        <v>622</v>
      </c>
      <c r="E44" s="170" t="s">
        <v>293</v>
      </c>
      <c r="F44" s="170" t="s">
        <v>421</v>
      </c>
      <c r="G44" s="170" t="s">
        <v>1079</v>
      </c>
      <c r="H44" s="170" t="s">
        <v>39</v>
      </c>
      <c r="I44" s="394">
        <v>3700000</v>
      </c>
      <c r="J44" s="395">
        <v>97.37</v>
      </c>
      <c r="K44" s="395">
        <v>1</v>
      </c>
      <c r="L44" s="395">
        <v>0.97719299999999998</v>
      </c>
      <c r="M44" s="394">
        <v>3615614.66</v>
      </c>
      <c r="N44" s="390">
        <v>6.8810199999999998E-3</v>
      </c>
    </row>
    <row r="45" spans="1:14">
      <c r="A45" s="170" t="s">
        <v>930</v>
      </c>
      <c r="B45" s="170" t="s">
        <v>929</v>
      </c>
      <c r="C45" s="170" t="s">
        <v>1065</v>
      </c>
      <c r="D45" s="170" t="s">
        <v>567</v>
      </c>
      <c r="E45" s="170" t="s">
        <v>685</v>
      </c>
      <c r="F45" s="170" t="s">
        <v>334</v>
      </c>
      <c r="G45" s="170" t="s">
        <v>1156</v>
      </c>
      <c r="H45" s="170" t="s">
        <v>39</v>
      </c>
      <c r="I45" s="394">
        <v>1700000</v>
      </c>
      <c r="J45" s="395">
        <v>92.989000000000004</v>
      </c>
      <c r="K45" s="395">
        <v>1</v>
      </c>
      <c r="L45" s="395">
        <v>0.94083099999999997</v>
      </c>
      <c r="M45" s="394">
        <v>1599412.65</v>
      </c>
      <c r="N45" s="390">
        <v>3.0439099999999999E-3</v>
      </c>
    </row>
    <row r="46" spans="1:14">
      <c r="A46" s="170" t="s">
        <v>928</v>
      </c>
      <c r="B46" s="170" t="s">
        <v>927</v>
      </c>
      <c r="C46" s="170" t="s">
        <v>1065</v>
      </c>
      <c r="D46" s="170" t="s">
        <v>588</v>
      </c>
      <c r="E46" s="170" t="s">
        <v>547</v>
      </c>
      <c r="F46" s="170" t="s">
        <v>341</v>
      </c>
      <c r="G46" s="170" t="s">
        <v>1171</v>
      </c>
      <c r="H46" s="170" t="s">
        <v>39</v>
      </c>
      <c r="I46" s="394">
        <v>1700000</v>
      </c>
      <c r="J46" s="395">
        <v>100.74</v>
      </c>
      <c r="K46" s="395">
        <v>1</v>
      </c>
      <c r="L46" s="395">
        <v>1.009879</v>
      </c>
      <c r="M46" s="394">
        <v>1716794.58</v>
      </c>
      <c r="N46" s="390">
        <v>3.2672999999999999E-3</v>
      </c>
    </row>
    <row r="47" spans="1:14">
      <c r="A47" s="170" t="s">
        <v>925</v>
      </c>
      <c r="B47" s="170" t="s">
        <v>924</v>
      </c>
      <c r="C47" s="170" t="s">
        <v>1065</v>
      </c>
      <c r="D47" s="170" t="s">
        <v>588</v>
      </c>
      <c r="E47" s="170" t="s">
        <v>547</v>
      </c>
      <c r="F47" s="170" t="s">
        <v>342</v>
      </c>
      <c r="G47" s="170" t="s">
        <v>1170</v>
      </c>
      <c r="H47" s="170" t="s">
        <v>39</v>
      </c>
      <c r="I47" s="394">
        <v>700000</v>
      </c>
      <c r="J47" s="395">
        <v>99.864999999999995</v>
      </c>
      <c r="K47" s="395">
        <v>1</v>
      </c>
      <c r="L47" s="395">
        <v>1.0001850000000001</v>
      </c>
      <c r="M47" s="394">
        <v>700129.31</v>
      </c>
      <c r="N47" s="390">
        <v>1.3324400000000001E-3</v>
      </c>
    </row>
    <row r="48" spans="1:14">
      <c r="A48" s="170" t="s">
        <v>922</v>
      </c>
      <c r="B48" s="170" t="s">
        <v>921</v>
      </c>
      <c r="C48" s="170" t="s">
        <v>1065</v>
      </c>
      <c r="D48" s="170" t="s">
        <v>622</v>
      </c>
      <c r="E48" s="170" t="s">
        <v>293</v>
      </c>
      <c r="F48" s="170" t="s">
        <v>416</v>
      </c>
      <c r="G48" s="170" t="s">
        <v>1079</v>
      </c>
      <c r="H48" s="170" t="s">
        <v>39</v>
      </c>
      <c r="I48" s="394">
        <v>1800000</v>
      </c>
      <c r="J48" s="395">
        <v>90.495999999999995</v>
      </c>
      <c r="K48" s="395">
        <v>1</v>
      </c>
      <c r="L48" s="395">
        <v>0.90876100000000004</v>
      </c>
      <c r="M48" s="394">
        <v>1635770.47</v>
      </c>
      <c r="N48" s="390">
        <v>3.1131000000000002E-3</v>
      </c>
    </row>
    <row r="49" spans="1:14">
      <c r="A49" s="170" t="s">
        <v>920</v>
      </c>
      <c r="B49" s="170" t="s">
        <v>802</v>
      </c>
      <c r="C49" s="170" t="s">
        <v>1065</v>
      </c>
      <c r="D49" s="170" t="s">
        <v>567</v>
      </c>
      <c r="E49" s="170" t="s">
        <v>685</v>
      </c>
      <c r="F49" s="170" t="s">
        <v>350</v>
      </c>
      <c r="G49" s="170" t="s">
        <v>1079</v>
      </c>
      <c r="H49" s="170" t="s">
        <v>39</v>
      </c>
      <c r="I49" s="394">
        <v>2100000</v>
      </c>
      <c r="J49" s="395">
        <v>94.951999999999998</v>
      </c>
      <c r="K49" s="395">
        <v>1</v>
      </c>
      <c r="L49" s="395">
        <v>0.95687599999999995</v>
      </c>
      <c r="M49" s="394">
        <v>2009439.25</v>
      </c>
      <c r="N49" s="390">
        <v>3.82424E-3</v>
      </c>
    </row>
    <row r="50" spans="1:14">
      <c r="A50" s="170" t="s">
        <v>919</v>
      </c>
      <c r="B50" s="170" t="s">
        <v>918</v>
      </c>
      <c r="C50" s="170" t="s">
        <v>1065</v>
      </c>
      <c r="D50" s="170" t="s">
        <v>551</v>
      </c>
      <c r="E50" s="170" t="s">
        <v>532</v>
      </c>
      <c r="F50" s="170" t="s">
        <v>408</v>
      </c>
      <c r="G50" s="170" t="s">
        <v>1138</v>
      </c>
      <c r="H50" s="170" t="s">
        <v>39</v>
      </c>
      <c r="I50" s="394">
        <v>1524000</v>
      </c>
      <c r="J50" s="395">
        <v>96.233000000000004</v>
      </c>
      <c r="K50" s="395">
        <v>1</v>
      </c>
      <c r="L50" s="395">
        <v>0.97276700000000005</v>
      </c>
      <c r="M50" s="394">
        <v>1482497.67</v>
      </c>
      <c r="N50" s="390">
        <v>2.8213999999999999E-3</v>
      </c>
    </row>
    <row r="51" spans="1:14">
      <c r="A51" s="170" t="s">
        <v>917</v>
      </c>
      <c r="B51" s="170" t="s">
        <v>916</v>
      </c>
      <c r="C51" s="170" t="s">
        <v>1065</v>
      </c>
      <c r="D51" s="170" t="s">
        <v>551</v>
      </c>
      <c r="E51" s="170" t="s">
        <v>532</v>
      </c>
      <c r="F51" s="170" t="s">
        <v>377</v>
      </c>
      <c r="G51" s="170" t="s">
        <v>1169</v>
      </c>
      <c r="H51" s="170" t="s">
        <v>39</v>
      </c>
      <c r="I51" s="394">
        <v>4021000</v>
      </c>
      <c r="J51" s="395">
        <v>97.242000000000004</v>
      </c>
      <c r="K51" s="395">
        <v>1</v>
      </c>
      <c r="L51" s="395">
        <v>0.98216300000000001</v>
      </c>
      <c r="M51" s="394">
        <v>3949277.65</v>
      </c>
      <c r="N51" s="390">
        <v>7.5160299999999999E-3</v>
      </c>
    </row>
    <row r="52" spans="1:14">
      <c r="A52" s="170" t="s">
        <v>914</v>
      </c>
      <c r="B52" s="170" t="s">
        <v>913</v>
      </c>
      <c r="C52" s="170" t="s">
        <v>1065</v>
      </c>
      <c r="D52" s="170" t="s">
        <v>634</v>
      </c>
      <c r="E52" s="170" t="s">
        <v>287</v>
      </c>
      <c r="F52" s="170" t="s">
        <v>450</v>
      </c>
      <c r="G52" s="170" t="s">
        <v>1117</v>
      </c>
      <c r="H52" s="170" t="s">
        <v>39</v>
      </c>
      <c r="I52" s="394">
        <v>2170000</v>
      </c>
      <c r="J52" s="395">
        <v>97.897000000000006</v>
      </c>
      <c r="K52" s="395">
        <v>1</v>
      </c>
      <c r="L52" s="395">
        <v>0.98304999999999998</v>
      </c>
      <c r="M52" s="394">
        <v>2133218.2000000002</v>
      </c>
      <c r="N52" s="390">
        <v>4.0598099999999996E-3</v>
      </c>
    </row>
    <row r="53" spans="1:14">
      <c r="A53" s="170" t="s">
        <v>912</v>
      </c>
      <c r="B53" s="170" t="s">
        <v>911</v>
      </c>
      <c r="C53" s="170" t="s">
        <v>1065</v>
      </c>
      <c r="D53" s="170" t="s">
        <v>551</v>
      </c>
      <c r="E53" s="170" t="s">
        <v>576</v>
      </c>
      <c r="F53" s="170" t="s">
        <v>418</v>
      </c>
      <c r="G53" s="170" t="s">
        <v>1168</v>
      </c>
      <c r="H53" s="170" t="s">
        <v>39</v>
      </c>
      <c r="I53" s="394">
        <v>4930000</v>
      </c>
      <c r="J53" s="395">
        <v>100.532</v>
      </c>
      <c r="K53" s="395">
        <v>1</v>
      </c>
      <c r="L53" s="395">
        <v>1.0175799999999999</v>
      </c>
      <c r="M53" s="394">
        <v>5016671.45</v>
      </c>
      <c r="N53" s="390">
        <v>9.5474199999999992E-3</v>
      </c>
    </row>
    <row r="54" spans="1:14">
      <c r="A54" s="170" t="s">
        <v>909</v>
      </c>
      <c r="B54" s="170" t="s">
        <v>908</v>
      </c>
      <c r="C54" s="170" t="s">
        <v>1065</v>
      </c>
      <c r="D54" s="170" t="s">
        <v>575</v>
      </c>
      <c r="E54" s="170" t="s">
        <v>685</v>
      </c>
      <c r="F54" s="170" t="s">
        <v>337</v>
      </c>
      <c r="G54" s="170" t="s">
        <v>1079</v>
      </c>
      <c r="H54" s="170" t="s">
        <v>39</v>
      </c>
      <c r="I54" s="394">
        <v>6500000</v>
      </c>
      <c r="J54" s="395">
        <v>96.41</v>
      </c>
      <c r="K54" s="395">
        <v>1</v>
      </c>
      <c r="L54" s="395">
        <v>0.98303799999999997</v>
      </c>
      <c r="M54" s="394">
        <v>6389749.3200000003</v>
      </c>
      <c r="N54" s="390">
        <v>1.2160580000000001E-2</v>
      </c>
    </row>
    <row r="55" spans="1:14">
      <c r="A55" s="170" t="s">
        <v>907</v>
      </c>
      <c r="B55" s="170" t="s">
        <v>906</v>
      </c>
      <c r="C55" s="170" t="s">
        <v>1065</v>
      </c>
      <c r="D55" s="170" t="s">
        <v>508</v>
      </c>
      <c r="E55" s="170" t="s">
        <v>685</v>
      </c>
      <c r="F55" s="170" t="s">
        <v>434</v>
      </c>
      <c r="G55" s="170" t="s">
        <v>1167</v>
      </c>
      <c r="H55" s="170" t="s">
        <v>39</v>
      </c>
      <c r="I55" s="394">
        <v>2924000</v>
      </c>
      <c r="J55" s="395">
        <v>97.769000000000005</v>
      </c>
      <c r="K55" s="395">
        <v>1</v>
      </c>
      <c r="L55" s="395">
        <v>0.98371799999999998</v>
      </c>
      <c r="M55" s="394">
        <v>2876390.78</v>
      </c>
      <c r="N55" s="390">
        <v>5.4741700000000004E-3</v>
      </c>
    </row>
    <row r="56" spans="1:14">
      <c r="A56" s="170" t="s">
        <v>904</v>
      </c>
      <c r="B56" s="170" t="s">
        <v>903</v>
      </c>
      <c r="C56" s="170" t="s">
        <v>1065</v>
      </c>
      <c r="D56" s="170" t="s">
        <v>642</v>
      </c>
      <c r="E56" s="170" t="s">
        <v>514</v>
      </c>
      <c r="F56" s="170" t="s">
        <v>386</v>
      </c>
      <c r="G56" s="170" t="s">
        <v>1166</v>
      </c>
      <c r="H56" s="170" t="s">
        <v>39</v>
      </c>
      <c r="I56" s="394">
        <v>2124000</v>
      </c>
      <c r="J56" s="395">
        <v>97.667000000000002</v>
      </c>
      <c r="K56" s="395">
        <v>1</v>
      </c>
      <c r="L56" s="395">
        <v>0.97993399999999997</v>
      </c>
      <c r="M56" s="394">
        <v>2081379.58</v>
      </c>
      <c r="N56" s="390">
        <v>3.96116E-3</v>
      </c>
    </row>
    <row r="57" spans="1:14">
      <c r="A57" s="170" t="s">
        <v>901</v>
      </c>
      <c r="B57" s="170" t="s">
        <v>900</v>
      </c>
      <c r="C57" s="170" t="s">
        <v>1065</v>
      </c>
      <c r="D57" s="170" t="s">
        <v>588</v>
      </c>
      <c r="E57" s="170" t="s">
        <v>499</v>
      </c>
      <c r="F57" s="170" t="s">
        <v>415</v>
      </c>
      <c r="G57" s="170" t="s">
        <v>1165</v>
      </c>
      <c r="H57" s="170" t="s">
        <v>39</v>
      </c>
      <c r="I57" s="394">
        <v>4637000</v>
      </c>
      <c r="J57" s="395">
        <v>98.436999999999998</v>
      </c>
      <c r="K57" s="395">
        <v>1</v>
      </c>
      <c r="L57" s="395">
        <v>0.99132100000000001</v>
      </c>
      <c r="M57" s="394">
        <v>4596757.28</v>
      </c>
      <c r="N57" s="390">
        <v>8.7482700000000007E-3</v>
      </c>
    </row>
    <row r="58" spans="1:14">
      <c r="A58" s="170" t="s">
        <v>898</v>
      </c>
      <c r="B58" s="170" t="s">
        <v>897</v>
      </c>
      <c r="C58" s="170" t="s">
        <v>1065</v>
      </c>
      <c r="D58" s="170" t="s">
        <v>622</v>
      </c>
      <c r="E58" s="170" t="s">
        <v>547</v>
      </c>
      <c r="F58" s="170" t="s">
        <v>457</v>
      </c>
      <c r="G58" s="170" t="s">
        <v>1079</v>
      </c>
      <c r="H58" s="170" t="s">
        <v>39</v>
      </c>
      <c r="I58" s="394">
        <v>2724000</v>
      </c>
      <c r="J58" s="395">
        <v>99.242999999999995</v>
      </c>
      <c r="K58" s="395">
        <v>1</v>
      </c>
      <c r="L58" s="395">
        <v>1.0081830000000001</v>
      </c>
      <c r="M58" s="394">
        <v>2746291.65</v>
      </c>
      <c r="N58" s="390">
        <v>5.2265799999999998E-3</v>
      </c>
    </row>
    <row r="59" spans="1:14">
      <c r="A59" s="170" t="s">
        <v>896</v>
      </c>
      <c r="B59" s="170" t="s">
        <v>895</v>
      </c>
      <c r="C59" s="170" t="s">
        <v>1065</v>
      </c>
      <c r="D59" s="170" t="s">
        <v>508</v>
      </c>
      <c r="E59" s="170" t="s">
        <v>685</v>
      </c>
      <c r="F59" s="170" t="s">
        <v>486</v>
      </c>
      <c r="G59" s="170" t="s">
        <v>1164</v>
      </c>
      <c r="H59" s="170" t="s">
        <v>39</v>
      </c>
      <c r="I59" s="394">
        <v>3805000</v>
      </c>
      <c r="J59" s="395">
        <v>96.388000000000005</v>
      </c>
      <c r="K59" s="395">
        <v>1</v>
      </c>
      <c r="L59" s="395">
        <v>0.96840099999999996</v>
      </c>
      <c r="M59" s="394">
        <v>3684764.08</v>
      </c>
      <c r="N59" s="390">
        <v>7.0126199999999998E-3</v>
      </c>
    </row>
    <row r="60" spans="1:14">
      <c r="A60" s="170" t="s">
        <v>892</v>
      </c>
      <c r="B60" s="170" t="s">
        <v>891</v>
      </c>
      <c r="C60" s="170" t="s">
        <v>1065</v>
      </c>
      <c r="D60" s="170" t="s">
        <v>513</v>
      </c>
      <c r="E60" s="170" t="s">
        <v>293</v>
      </c>
      <c r="F60" s="170" t="s">
        <v>452</v>
      </c>
      <c r="G60" s="170" t="s">
        <v>1163</v>
      </c>
      <c r="H60" s="170" t="s">
        <v>39</v>
      </c>
      <c r="I60" s="394">
        <v>1100000</v>
      </c>
      <c r="J60" s="395">
        <v>100.105</v>
      </c>
      <c r="K60" s="395">
        <v>1</v>
      </c>
      <c r="L60" s="395">
        <v>1.021925</v>
      </c>
      <c r="M60" s="394">
        <v>1124117.5</v>
      </c>
      <c r="N60" s="390">
        <v>2.1393499999999999E-3</v>
      </c>
    </row>
    <row r="61" spans="1:14">
      <c r="A61" s="170" t="s">
        <v>889</v>
      </c>
      <c r="B61" s="170" t="s">
        <v>888</v>
      </c>
      <c r="C61" s="170" t="s">
        <v>1065</v>
      </c>
      <c r="D61" s="170" t="s">
        <v>508</v>
      </c>
      <c r="E61" s="170" t="s">
        <v>514</v>
      </c>
      <c r="F61" s="170" t="s">
        <v>441</v>
      </c>
      <c r="G61" s="170" t="s">
        <v>1162</v>
      </c>
      <c r="H61" s="170" t="s">
        <v>39</v>
      </c>
      <c r="I61" s="394">
        <v>1746000</v>
      </c>
      <c r="J61" s="395">
        <v>98.661000000000001</v>
      </c>
      <c r="K61" s="395">
        <v>1</v>
      </c>
      <c r="L61" s="395">
        <v>0.998027</v>
      </c>
      <c r="M61" s="394">
        <v>1742554.56</v>
      </c>
      <c r="N61" s="390">
        <v>3.3163200000000002E-3</v>
      </c>
    </row>
    <row r="62" spans="1:14">
      <c r="A62" s="170" t="s">
        <v>886</v>
      </c>
      <c r="B62" s="170" t="s">
        <v>885</v>
      </c>
      <c r="C62" s="170" t="s">
        <v>1065</v>
      </c>
      <c r="D62" s="170" t="s">
        <v>567</v>
      </c>
      <c r="E62" s="170" t="s">
        <v>287</v>
      </c>
      <c r="F62" s="170" t="s">
        <v>476</v>
      </c>
      <c r="G62" s="170" t="s">
        <v>1161</v>
      </c>
      <c r="H62" s="170" t="s">
        <v>39</v>
      </c>
      <c r="I62" s="394">
        <v>2500000</v>
      </c>
      <c r="J62" s="395">
        <v>87.09</v>
      </c>
      <c r="K62" s="395">
        <v>1</v>
      </c>
      <c r="L62" s="395">
        <v>0.88715699999999997</v>
      </c>
      <c r="M62" s="394">
        <v>2217892.08</v>
      </c>
      <c r="N62" s="390">
        <v>4.2209600000000002E-3</v>
      </c>
    </row>
    <row r="63" spans="1:14">
      <c r="A63" s="170" t="s">
        <v>883</v>
      </c>
      <c r="B63" s="170" t="s">
        <v>882</v>
      </c>
      <c r="C63" s="170" t="s">
        <v>1065</v>
      </c>
      <c r="D63" s="170" t="s">
        <v>508</v>
      </c>
      <c r="E63" s="170" t="s">
        <v>547</v>
      </c>
      <c r="F63" s="170" t="s">
        <v>444</v>
      </c>
      <c r="G63" s="170" t="s">
        <v>1160</v>
      </c>
      <c r="H63" s="170" t="s">
        <v>39</v>
      </c>
      <c r="I63" s="394">
        <v>4340000</v>
      </c>
      <c r="J63" s="395">
        <v>95.185000000000002</v>
      </c>
      <c r="K63" s="395">
        <v>1</v>
      </c>
      <c r="L63" s="395">
        <v>0.97037099999999998</v>
      </c>
      <c r="M63" s="394">
        <v>4211408.18</v>
      </c>
      <c r="N63" s="390">
        <v>8.0149000000000001E-3</v>
      </c>
    </row>
    <row r="64" spans="1:14">
      <c r="A64" s="170" t="s">
        <v>880</v>
      </c>
      <c r="B64" s="170" t="s">
        <v>879</v>
      </c>
      <c r="C64" s="170" t="s">
        <v>1065</v>
      </c>
      <c r="D64" s="170" t="s">
        <v>551</v>
      </c>
      <c r="E64" s="170" t="s">
        <v>571</v>
      </c>
      <c r="F64" s="170" t="s">
        <v>420</v>
      </c>
      <c r="G64" s="170" t="s">
        <v>1159</v>
      </c>
      <c r="H64" s="170" t="s">
        <v>39</v>
      </c>
      <c r="I64" s="394">
        <v>4030000</v>
      </c>
      <c r="J64" s="395">
        <v>97.692999999999998</v>
      </c>
      <c r="K64" s="395">
        <v>1</v>
      </c>
      <c r="L64" s="395">
        <v>0.99167700000000003</v>
      </c>
      <c r="M64" s="394">
        <v>3996456.41</v>
      </c>
      <c r="N64" s="390">
        <v>7.6058100000000002E-3</v>
      </c>
    </row>
    <row r="65" spans="1:14">
      <c r="A65" s="170" t="s">
        <v>877</v>
      </c>
      <c r="B65" s="170" t="s">
        <v>876</v>
      </c>
      <c r="C65" s="170" t="s">
        <v>1065</v>
      </c>
      <c r="D65" s="170" t="s">
        <v>567</v>
      </c>
      <c r="E65" s="170" t="s">
        <v>571</v>
      </c>
      <c r="F65" s="170" t="s">
        <v>405</v>
      </c>
      <c r="G65" s="170" t="s">
        <v>1158</v>
      </c>
      <c r="H65" s="170" t="s">
        <v>39</v>
      </c>
      <c r="I65" s="394">
        <v>2924000</v>
      </c>
      <c r="J65" s="395">
        <v>101.447</v>
      </c>
      <c r="K65" s="395">
        <v>1</v>
      </c>
      <c r="L65" s="395">
        <v>1.0382439999999999</v>
      </c>
      <c r="M65" s="394">
        <v>3035826.35</v>
      </c>
      <c r="N65" s="390">
        <v>5.7775999999999999E-3</v>
      </c>
    </row>
    <row r="66" spans="1:14">
      <c r="A66" s="170" t="s">
        <v>874</v>
      </c>
      <c r="B66" s="170" t="s">
        <v>873</v>
      </c>
      <c r="C66" s="170" t="s">
        <v>1065</v>
      </c>
      <c r="D66" s="170" t="s">
        <v>551</v>
      </c>
      <c r="E66" s="170" t="s">
        <v>685</v>
      </c>
      <c r="F66" s="170" t="s">
        <v>347</v>
      </c>
      <c r="G66" s="170" t="s">
        <v>1157</v>
      </c>
      <c r="H66" s="170" t="s">
        <v>39</v>
      </c>
      <c r="I66" s="394">
        <v>3000000</v>
      </c>
      <c r="J66" s="395">
        <v>102.61799999999999</v>
      </c>
      <c r="K66" s="395">
        <v>1</v>
      </c>
      <c r="L66" s="395">
        <v>1.0399130000000001</v>
      </c>
      <c r="M66" s="394">
        <v>3119737.92</v>
      </c>
      <c r="N66" s="390">
        <v>5.9373000000000004E-3</v>
      </c>
    </row>
    <row r="67" spans="1:14">
      <c r="A67" s="170" t="s">
        <v>871</v>
      </c>
      <c r="B67" s="170" t="s">
        <v>870</v>
      </c>
      <c r="C67" s="170" t="s">
        <v>1065</v>
      </c>
      <c r="D67" s="170" t="s">
        <v>544</v>
      </c>
      <c r="E67" s="170" t="s">
        <v>685</v>
      </c>
      <c r="F67" s="170" t="s">
        <v>391</v>
      </c>
      <c r="G67" s="170" t="s">
        <v>1079</v>
      </c>
      <c r="H67" s="170" t="s">
        <v>39</v>
      </c>
      <c r="I67" s="394">
        <v>3300000</v>
      </c>
      <c r="J67" s="395">
        <v>98.581999999999994</v>
      </c>
      <c r="K67" s="395">
        <v>1</v>
      </c>
      <c r="L67" s="395">
        <v>0.99828300000000003</v>
      </c>
      <c r="M67" s="394">
        <v>3294335.55</v>
      </c>
      <c r="N67" s="390">
        <v>6.2695800000000003E-3</v>
      </c>
    </row>
    <row r="68" spans="1:14">
      <c r="A68" s="170" t="s">
        <v>869</v>
      </c>
      <c r="B68" s="170" t="s">
        <v>802</v>
      </c>
      <c r="C68" s="170" t="s">
        <v>1065</v>
      </c>
      <c r="D68" s="170" t="s">
        <v>567</v>
      </c>
      <c r="E68" s="170" t="s">
        <v>685</v>
      </c>
      <c r="F68" s="170" t="s">
        <v>350</v>
      </c>
      <c r="G68" s="170" t="s">
        <v>1079</v>
      </c>
      <c r="H68" s="170" t="s">
        <v>39</v>
      </c>
      <c r="I68" s="394">
        <v>1100000</v>
      </c>
      <c r="J68" s="395">
        <v>98.165999999999997</v>
      </c>
      <c r="K68" s="395">
        <v>1</v>
      </c>
      <c r="L68" s="395">
        <v>0.98962899999999998</v>
      </c>
      <c r="M68" s="394">
        <v>1088592.25</v>
      </c>
      <c r="N68" s="390">
        <v>2.0717399999999999E-3</v>
      </c>
    </row>
    <row r="69" spans="1:14">
      <c r="A69" s="170" t="s">
        <v>868</v>
      </c>
      <c r="B69" s="170" t="s">
        <v>867</v>
      </c>
      <c r="C69" s="170" t="s">
        <v>1065</v>
      </c>
      <c r="D69" s="170" t="s">
        <v>567</v>
      </c>
      <c r="E69" s="170" t="s">
        <v>685</v>
      </c>
      <c r="F69" s="170" t="s">
        <v>384</v>
      </c>
      <c r="G69" s="170" t="s">
        <v>1156</v>
      </c>
      <c r="H69" s="170" t="s">
        <v>39</v>
      </c>
      <c r="I69" s="394">
        <v>900000</v>
      </c>
      <c r="J69" s="395">
        <v>99.457999999999998</v>
      </c>
      <c r="K69" s="395">
        <v>1</v>
      </c>
      <c r="L69" s="395">
        <v>0.99957300000000004</v>
      </c>
      <c r="M69" s="394">
        <v>899615.89</v>
      </c>
      <c r="N69" s="390">
        <v>1.7120900000000001E-3</v>
      </c>
    </row>
    <row r="70" spans="1:14">
      <c r="A70" s="170" t="s">
        <v>865</v>
      </c>
      <c r="B70" s="170" t="s">
        <v>864</v>
      </c>
      <c r="C70" s="170" t="s">
        <v>1065</v>
      </c>
      <c r="D70" s="170" t="s">
        <v>567</v>
      </c>
      <c r="E70" s="170" t="s">
        <v>685</v>
      </c>
      <c r="F70" s="170" t="s">
        <v>385</v>
      </c>
      <c r="G70" s="170" t="s">
        <v>1155</v>
      </c>
      <c r="H70" s="170" t="s">
        <v>39</v>
      </c>
      <c r="I70" s="394">
        <v>3246000</v>
      </c>
      <c r="J70" s="395">
        <v>100.80200000000001</v>
      </c>
      <c r="K70" s="395">
        <v>1</v>
      </c>
      <c r="L70" s="395">
        <v>1.015201</v>
      </c>
      <c r="M70" s="394">
        <v>3295341</v>
      </c>
      <c r="N70" s="390">
        <v>6.2714900000000002E-3</v>
      </c>
    </row>
    <row r="71" spans="1:14">
      <c r="A71" s="170" t="s">
        <v>862</v>
      </c>
      <c r="B71" s="170" t="s">
        <v>861</v>
      </c>
      <c r="C71" s="170" t="s">
        <v>1065</v>
      </c>
      <c r="D71" s="170" t="s">
        <v>567</v>
      </c>
      <c r="E71" s="170" t="s">
        <v>685</v>
      </c>
      <c r="F71" s="170" t="s">
        <v>335</v>
      </c>
      <c r="G71" s="170" t="s">
        <v>1154</v>
      </c>
      <c r="H71" s="170" t="s">
        <v>39</v>
      </c>
      <c r="I71" s="394">
        <v>3923000</v>
      </c>
      <c r="J71" s="395">
        <v>93.837999999999994</v>
      </c>
      <c r="K71" s="395">
        <v>1</v>
      </c>
      <c r="L71" s="395">
        <v>0.94294900000000004</v>
      </c>
      <c r="M71" s="394">
        <v>3699190.67</v>
      </c>
      <c r="N71" s="390">
        <v>7.0400799999999998E-3</v>
      </c>
    </row>
    <row r="72" spans="1:14">
      <c r="A72" s="170" t="s">
        <v>859</v>
      </c>
      <c r="B72" s="170" t="s">
        <v>802</v>
      </c>
      <c r="C72" s="170" t="s">
        <v>1065</v>
      </c>
      <c r="D72" s="170" t="s">
        <v>567</v>
      </c>
      <c r="E72" s="170" t="s">
        <v>685</v>
      </c>
      <c r="F72" s="170" t="s">
        <v>350</v>
      </c>
      <c r="G72" s="170" t="s">
        <v>1079</v>
      </c>
      <c r="H72" s="170" t="s">
        <v>39</v>
      </c>
      <c r="I72" s="394">
        <v>1700000</v>
      </c>
      <c r="J72" s="395">
        <v>110.248</v>
      </c>
      <c r="K72" s="395">
        <v>1</v>
      </c>
      <c r="L72" s="395">
        <v>1.1577230000000001</v>
      </c>
      <c r="M72" s="394">
        <v>1968129.36</v>
      </c>
      <c r="N72" s="390">
        <v>3.7456199999999999E-3</v>
      </c>
    </row>
    <row r="73" spans="1:14">
      <c r="A73" s="170" t="s">
        <v>858</v>
      </c>
      <c r="B73" s="170" t="s">
        <v>857</v>
      </c>
      <c r="C73" s="170" t="s">
        <v>1065</v>
      </c>
      <c r="D73" s="170" t="s">
        <v>642</v>
      </c>
      <c r="E73" s="170" t="s">
        <v>287</v>
      </c>
      <c r="F73" s="170" t="s">
        <v>348</v>
      </c>
      <c r="G73" s="170" t="s">
        <v>1153</v>
      </c>
      <c r="H73" s="170" t="s">
        <v>39</v>
      </c>
      <c r="I73" s="394">
        <v>1521000</v>
      </c>
      <c r="J73" s="395">
        <v>103.325</v>
      </c>
      <c r="K73" s="395">
        <v>1</v>
      </c>
      <c r="L73" s="395">
        <v>1.0578190000000001</v>
      </c>
      <c r="M73" s="394">
        <v>1608943.37</v>
      </c>
      <c r="N73" s="390">
        <v>3.0620399999999998E-3</v>
      </c>
    </row>
    <row r="74" spans="1:14">
      <c r="A74" s="170" t="s">
        <v>855</v>
      </c>
      <c r="B74" s="170" t="s">
        <v>854</v>
      </c>
      <c r="C74" s="170" t="s">
        <v>1065</v>
      </c>
      <c r="D74" s="170" t="s">
        <v>513</v>
      </c>
      <c r="E74" s="170" t="s">
        <v>293</v>
      </c>
      <c r="F74" s="170" t="s">
        <v>452</v>
      </c>
      <c r="G74" s="170" t="s">
        <v>1152</v>
      </c>
      <c r="H74" s="170" t="s">
        <v>39</v>
      </c>
      <c r="I74" s="394">
        <v>224000</v>
      </c>
      <c r="J74" s="395">
        <v>104.54600000000001</v>
      </c>
      <c r="K74" s="395">
        <v>1</v>
      </c>
      <c r="L74" s="395">
        <v>0.98423000000000005</v>
      </c>
      <c r="M74" s="394">
        <v>220467.44</v>
      </c>
      <c r="N74" s="390">
        <v>4.1958000000000002E-4</v>
      </c>
    </row>
    <row r="75" spans="1:14">
      <c r="A75" s="170" t="s">
        <v>852</v>
      </c>
      <c r="B75" s="170" t="s">
        <v>851</v>
      </c>
      <c r="C75" s="170" t="s">
        <v>1065</v>
      </c>
      <c r="D75" s="170" t="s">
        <v>544</v>
      </c>
      <c r="E75" s="170" t="s">
        <v>499</v>
      </c>
      <c r="F75" s="170" t="s">
        <v>435</v>
      </c>
      <c r="G75" s="170" t="s">
        <v>1079</v>
      </c>
      <c r="H75" s="170" t="s">
        <v>39</v>
      </c>
      <c r="I75" s="394">
        <v>1700000</v>
      </c>
      <c r="J75" s="395">
        <v>112.32299999999999</v>
      </c>
      <c r="K75" s="395">
        <v>1</v>
      </c>
      <c r="L75" s="395">
        <v>1.131942</v>
      </c>
      <c r="M75" s="394">
        <v>1924301.96</v>
      </c>
      <c r="N75" s="390">
        <v>3.6622099999999999E-3</v>
      </c>
    </row>
    <row r="76" spans="1:14">
      <c r="A76" s="170" t="s">
        <v>850</v>
      </c>
      <c r="B76" s="170" t="s">
        <v>849</v>
      </c>
      <c r="C76" s="170" t="s">
        <v>1065</v>
      </c>
      <c r="D76" s="170" t="s">
        <v>588</v>
      </c>
      <c r="E76" s="170" t="s">
        <v>547</v>
      </c>
      <c r="F76" s="170" t="s">
        <v>342</v>
      </c>
      <c r="G76" s="170" t="s">
        <v>1151</v>
      </c>
      <c r="H76" s="170" t="s">
        <v>39</v>
      </c>
      <c r="I76" s="394">
        <v>4553000</v>
      </c>
      <c r="J76" s="395">
        <v>103.76300000000001</v>
      </c>
      <c r="K76" s="395">
        <v>1</v>
      </c>
      <c r="L76" s="395">
        <v>1.0409949999999999</v>
      </c>
      <c r="M76" s="394">
        <v>4739648.34</v>
      </c>
      <c r="N76" s="390">
        <v>9.0202100000000007E-3</v>
      </c>
    </row>
    <row r="77" spans="1:14">
      <c r="A77" s="170" t="s">
        <v>847</v>
      </c>
      <c r="B77" s="170" t="s">
        <v>846</v>
      </c>
      <c r="C77" s="170" t="s">
        <v>1065</v>
      </c>
      <c r="D77" s="170" t="s">
        <v>612</v>
      </c>
      <c r="E77" s="170" t="s">
        <v>499</v>
      </c>
      <c r="F77" s="170" t="s">
        <v>407</v>
      </c>
      <c r="G77" s="170" t="s">
        <v>1150</v>
      </c>
      <c r="H77" s="170" t="s">
        <v>39</v>
      </c>
      <c r="I77" s="394">
        <v>1521000</v>
      </c>
      <c r="J77" s="395">
        <v>105.592</v>
      </c>
      <c r="K77" s="395">
        <v>1</v>
      </c>
      <c r="L77" s="395">
        <v>1.073142</v>
      </c>
      <c r="M77" s="394">
        <v>1632249.32</v>
      </c>
      <c r="N77" s="390">
        <v>3.1064E-3</v>
      </c>
    </row>
    <row r="78" spans="1:14">
      <c r="A78" s="170" t="s">
        <v>844</v>
      </c>
      <c r="B78" s="170" t="s">
        <v>843</v>
      </c>
      <c r="C78" s="170" t="s">
        <v>1065</v>
      </c>
      <c r="D78" s="170" t="s">
        <v>551</v>
      </c>
      <c r="E78" s="170" t="s">
        <v>685</v>
      </c>
      <c r="F78" s="170" t="s">
        <v>347</v>
      </c>
      <c r="G78" s="170" t="s">
        <v>1093</v>
      </c>
      <c r="H78" s="170" t="s">
        <v>39</v>
      </c>
      <c r="I78" s="394">
        <v>1400000</v>
      </c>
      <c r="J78" s="395">
        <v>113.74299999999999</v>
      </c>
      <c r="K78" s="395">
        <v>1</v>
      </c>
      <c r="L78" s="395">
        <v>1.1716420000000001</v>
      </c>
      <c r="M78" s="394">
        <v>1640298.53</v>
      </c>
      <c r="N78" s="390">
        <v>3.1217200000000001E-3</v>
      </c>
    </row>
    <row r="79" spans="1:14">
      <c r="A79" s="170" t="s">
        <v>842</v>
      </c>
      <c r="B79" s="170" t="s">
        <v>841</v>
      </c>
      <c r="C79" s="170" t="s">
        <v>1065</v>
      </c>
      <c r="D79" s="170" t="s">
        <v>551</v>
      </c>
      <c r="E79" s="170" t="s">
        <v>576</v>
      </c>
      <c r="F79" s="170" t="s">
        <v>418</v>
      </c>
      <c r="G79" s="170" t="s">
        <v>1080</v>
      </c>
      <c r="H79" s="170" t="s">
        <v>39</v>
      </c>
      <c r="I79" s="394">
        <v>269000</v>
      </c>
      <c r="J79" s="395">
        <v>105.792</v>
      </c>
      <c r="K79" s="395">
        <v>1</v>
      </c>
      <c r="L79" s="395">
        <v>1.077982</v>
      </c>
      <c r="M79" s="394">
        <v>289977.28999999998</v>
      </c>
      <c r="N79" s="390">
        <v>5.5186999999999999E-4</v>
      </c>
    </row>
    <row r="80" spans="1:14">
      <c r="A80" s="170" t="s">
        <v>840</v>
      </c>
      <c r="B80" s="170" t="s">
        <v>839</v>
      </c>
      <c r="C80" s="170" t="s">
        <v>1065</v>
      </c>
      <c r="D80" s="170" t="s">
        <v>513</v>
      </c>
      <c r="E80" s="170" t="s">
        <v>514</v>
      </c>
      <c r="F80" s="170" t="s">
        <v>481</v>
      </c>
      <c r="G80" s="170" t="s">
        <v>1149</v>
      </c>
      <c r="H80" s="170" t="s">
        <v>39</v>
      </c>
      <c r="I80" s="394">
        <v>1938000</v>
      </c>
      <c r="J80" s="395">
        <v>105.89700000000001</v>
      </c>
      <c r="K80" s="395">
        <v>1</v>
      </c>
      <c r="L80" s="395">
        <v>0.961592</v>
      </c>
      <c r="M80" s="394">
        <v>1863564.81</v>
      </c>
      <c r="N80" s="390">
        <v>3.5466199999999999E-3</v>
      </c>
    </row>
    <row r="81" spans="1:14">
      <c r="A81" s="170" t="s">
        <v>837</v>
      </c>
      <c r="B81" s="170" t="s">
        <v>836</v>
      </c>
      <c r="C81" s="170" t="s">
        <v>1065</v>
      </c>
      <c r="D81" s="170" t="s">
        <v>551</v>
      </c>
      <c r="E81" s="170" t="s">
        <v>576</v>
      </c>
      <c r="F81" s="170" t="s">
        <v>454</v>
      </c>
      <c r="G81" s="170" t="s">
        <v>1080</v>
      </c>
      <c r="H81" s="170" t="s">
        <v>39</v>
      </c>
      <c r="I81" s="394">
        <v>5189000</v>
      </c>
      <c r="J81" s="395">
        <v>102.997</v>
      </c>
      <c r="K81" s="395">
        <v>1</v>
      </c>
      <c r="L81" s="395">
        <v>1.052262</v>
      </c>
      <c r="M81" s="394">
        <v>5460185.79</v>
      </c>
      <c r="N81" s="390">
        <v>1.039149E-2</v>
      </c>
    </row>
    <row r="82" spans="1:14">
      <c r="A82" s="170" t="s">
        <v>835</v>
      </c>
      <c r="B82" s="170" t="s">
        <v>834</v>
      </c>
      <c r="C82" s="170" t="s">
        <v>1065</v>
      </c>
      <c r="D82" s="170" t="s">
        <v>588</v>
      </c>
      <c r="E82" s="170" t="s">
        <v>532</v>
      </c>
      <c r="F82" s="170" t="s">
        <v>436</v>
      </c>
      <c r="G82" s="170" t="s">
        <v>1148</v>
      </c>
      <c r="H82" s="170" t="s">
        <v>39</v>
      </c>
      <c r="I82" s="394">
        <v>1900000</v>
      </c>
      <c r="J82" s="395">
        <v>104.6</v>
      </c>
      <c r="K82" s="395">
        <v>1</v>
      </c>
      <c r="L82" s="395">
        <v>1.0596350000000001</v>
      </c>
      <c r="M82" s="394">
        <v>2013307.29</v>
      </c>
      <c r="N82" s="390">
        <v>3.8316000000000001E-3</v>
      </c>
    </row>
    <row r="83" spans="1:14">
      <c r="A83" s="170" t="s">
        <v>832</v>
      </c>
      <c r="B83" s="170" t="s">
        <v>831</v>
      </c>
      <c r="C83" s="170" t="s">
        <v>1065</v>
      </c>
      <c r="D83" s="170" t="s">
        <v>575</v>
      </c>
      <c r="E83" s="170" t="s">
        <v>576</v>
      </c>
      <c r="F83" s="170" t="s">
        <v>414</v>
      </c>
      <c r="G83" s="170" t="s">
        <v>1147</v>
      </c>
      <c r="H83" s="170" t="s">
        <v>39</v>
      </c>
      <c r="I83" s="394">
        <v>2900000</v>
      </c>
      <c r="J83" s="395">
        <v>99.588999999999999</v>
      </c>
      <c r="K83" s="395">
        <v>1</v>
      </c>
      <c r="L83" s="395">
        <v>1.035863</v>
      </c>
      <c r="M83" s="394">
        <v>3004001.77</v>
      </c>
      <c r="N83" s="390">
        <v>5.7170299999999997E-3</v>
      </c>
    </row>
    <row r="84" spans="1:14">
      <c r="A84" s="170" t="s">
        <v>829</v>
      </c>
      <c r="B84" s="170" t="s">
        <v>828</v>
      </c>
      <c r="C84" s="170" t="s">
        <v>1065</v>
      </c>
      <c r="D84" s="170" t="s">
        <v>567</v>
      </c>
      <c r="E84" s="170" t="s">
        <v>499</v>
      </c>
      <c r="F84" s="170" t="s">
        <v>351</v>
      </c>
      <c r="G84" s="170" t="s">
        <v>1128</v>
      </c>
      <c r="H84" s="170" t="s">
        <v>39</v>
      </c>
      <c r="I84" s="394">
        <v>884000</v>
      </c>
      <c r="J84" s="395">
        <v>112.072</v>
      </c>
      <c r="K84" s="395">
        <v>1</v>
      </c>
      <c r="L84" s="395">
        <v>1.1277820000000001</v>
      </c>
      <c r="M84" s="394">
        <v>996959.13</v>
      </c>
      <c r="N84" s="390">
        <v>1.8973499999999999E-3</v>
      </c>
    </row>
    <row r="85" spans="1:14">
      <c r="A85" s="170" t="s">
        <v>827</v>
      </c>
      <c r="B85" s="170" t="s">
        <v>826</v>
      </c>
      <c r="C85" s="170" t="s">
        <v>1065</v>
      </c>
      <c r="D85" s="170" t="s">
        <v>513</v>
      </c>
      <c r="E85" s="170" t="s">
        <v>1146</v>
      </c>
      <c r="F85" s="170" t="s">
        <v>371</v>
      </c>
      <c r="G85" s="170" t="s">
        <v>1145</v>
      </c>
      <c r="H85" s="170" t="s">
        <v>39</v>
      </c>
      <c r="I85" s="394">
        <v>3820000</v>
      </c>
      <c r="J85" s="395">
        <v>103.105</v>
      </c>
      <c r="K85" s="395">
        <v>1</v>
      </c>
      <c r="L85" s="395">
        <v>1.041644</v>
      </c>
      <c r="M85" s="394">
        <v>3979081.08</v>
      </c>
      <c r="N85" s="390">
        <v>7.5727499999999996E-3</v>
      </c>
    </row>
    <row r="86" spans="1:14">
      <c r="A86" s="170" t="s">
        <v>824</v>
      </c>
      <c r="B86" s="170" t="s">
        <v>823</v>
      </c>
      <c r="C86" s="170" t="s">
        <v>1065</v>
      </c>
      <c r="D86" s="170" t="s">
        <v>575</v>
      </c>
      <c r="E86" s="170" t="s">
        <v>1122</v>
      </c>
      <c r="F86" s="170" t="s">
        <v>464</v>
      </c>
      <c r="G86" s="170" t="s">
        <v>1139</v>
      </c>
      <c r="H86" s="170" t="s">
        <v>39</v>
      </c>
      <c r="I86" s="394">
        <v>1325000</v>
      </c>
      <c r="J86" s="395">
        <v>102.929</v>
      </c>
      <c r="K86" s="395">
        <v>1</v>
      </c>
      <c r="L86" s="395">
        <v>1.0357339999999999</v>
      </c>
      <c r="M86" s="394">
        <v>1372348.14</v>
      </c>
      <c r="N86" s="390">
        <v>2.6117699999999998E-3</v>
      </c>
    </row>
    <row r="87" spans="1:14">
      <c r="A87" s="170" t="s">
        <v>822</v>
      </c>
      <c r="B87" s="170" t="s">
        <v>821</v>
      </c>
      <c r="C87" s="170" t="s">
        <v>1065</v>
      </c>
      <c r="D87" s="170" t="s">
        <v>508</v>
      </c>
      <c r="E87" s="170" t="s">
        <v>532</v>
      </c>
      <c r="F87" s="170" t="s">
        <v>449</v>
      </c>
      <c r="G87" s="170" t="s">
        <v>1144</v>
      </c>
      <c r="H87" s="170" t="s">
        <v>39</v>
      </c>
      <c r="I87" s="394">
        <v>1524000</v>
      </c>
      <c r="J87" s="395">
        <v>103.096</v>
      </c>
      <c r="K87" s="395">
        <v>1</v>
      </c>
      <c r="L87" s="395">
        <v>1.057634</v>
      </c>
      <c r="M87" s="394">
        <v>1611833.62</v>
      </c>
      <c r="N87" s="390">
        <v>3.0675400000000001E-3</v>
      </c>
    </row>
    <row r="88" spans="1:14">
      <c r="A88" s="170" t="s">
        <v>819</v>
      </c>
      <c r="B88" s="170" t="s">
        <v>818</v>
      </c>
      <c r="C88" s="170" t="s">
        <v>1065</v>
      </c>
      <c r="D88" s="170" t="s">
        <v>513</v>
      </c>
      <c r="E88" s="170" t="s">
        <v>514</v>
      </c>
      <c r="F88" s="170" t="s">
        <v>372</v>
      </c>
      <c r="G88" s="170" t="s">
        <v>1143</v>
      </c>
      <c r="H88" s="170" t="s">
        <v>39</v>
      </c>
      <c r="I88" s="394">
        <v>3046000</v>
      </c>
      <c r="J88" s="395">
        <v>105.065</v>
      </c>
      <c r="K88" s="395">
        <v>1</v>
      </c>
      <c r="L88" s="395">
        <v>1.0579829999999999</v>
      </c>
      <c r="M88" s="394">
        <v>3222617.23</v>
      </c>
      <c r="N88" s="390">
        <v>6.1330899999999999E-3</v>
      </c>
    </row>
    <row r="89" spans="1:14">
      <c r="A89" s="170" t="s">
        <v>816</v>
      </c>
      <c r="B89" s="170" t="s">
        <v>815</v>
      </c>
      <c r="C89" s="170" t="s">
        <v>1065</v>
      </c>
      <c r="D89" s="170" t="s">
        <v>544</v>
      </c>
      <c r="E89" s="170" t="s">
        <v>814</v>
      </c>
      <c r="F89" s="170" t="s">
        <v>474</v>
      </c>
      <c r="G89" s="170" t="s">
        <v>1142</v>
      </c>
      <c r="H89" s="170" t="s">
        <v>39</v>
      </c>
      <c r="I89" s="394">
        <v>2124000</v>
      </c>
      <c r="J89" s="395">
        <v>110.28100000000001</v>
      </c>
      <c r="K89" s="395">
        <v>1</v>
      </c>
      <c r="L89" s="395">
        <v>1.142827</v>
      </c>
      <c r="M89" s="394">
        <v>2427364.81</v>
      </c>
      <c r="N89" s="390">
        <v>4.6196099999999997E-3</v>
      </c>
    </row>
    <row r="90" spans="1:14">
      <c r="A90" s="170" t="s">
        <v>811</v>
      </c>
      <c r="B90" s="170" t="s">
        <v>810</v>
      </c>
      <c r="C90" s="170" t="s">
        <v>1065</v>
      </c>
      <c r="D90" s="170" t="s">
        <v>524</v>
      </c>
      <c r="E90" s="170" t="s">
        <v>514</v>
      </c>
      <c r="F90" s="170" t="s">
        <v>438</v>
      </c>
      <c r="G90" s="170" t="s">
        <v>1141</v>
      </c>
      <c r="H90" s="170" t="s">
        <v>39</v>
      </c>
      <c r="I90" s="394">
        <v>3629000</v>
      </c>
      <c r="J90" s="395">
        <v>110.604</v>
      </c>
      <c r="K90" s="395">
        <v>1</v>
      </c>
      <c r="L90" s="395">
        <v>1.1344369999999999</v>
      </c>
      <c r="M90" s="394">
        <v>4116870.93</v>
      </c>
      <c r="N90" s="390">
        <v>7.8349800000000001E-3</v>
      </c>
    </row>
    <row r="91" spans="1:14">
      <c r="A91" s="170" t="s">
        <v>808</v>
      </c>
      <c r="B91" s="170" t="s">
        <v>807</v>
      </c>
      <c r="C91" s="170" t="s">
        <v>1065</v>
      </c>
      <c r="D91" s="170" t="s">
        <v>508</v>
      </c>
      <c r="E91" s="170" t="s">
        <v>287</v>
      </c>
      <c r="F91" s="170" t="s">
        <v>396</v>
      </c>
      <c r="G91" s="170" t="s">
        <v>1140</v>
      </c>
      <c r="H91" s="170" t="s">
        <v>39</v>
      </c>
      <c r="I91" s="394">
        <v>5425000</v>
      </c>
      <c r="J91" s="395">
        <v>103.985</v>
      </c>
      <c r="K91" s="395">
        <v>1</v>
      </c>
      <c r="L91" s="395">
        <v>0.94813700000000001</v>
      </c>
      <c r="M91" s="394">
        <v>5143642.55</v>
      </c>
      <c r="N91" s="390">
        <v>9.7890700000000004E-3</v>
      </c>
    </row>
    <row r="92" spans="1:14">
      <c r="A92" s="170" t="s">
        <v>805</v>
      </c>
      <c r="B92" s="170" t="s">
        <v>804</v>
      </c>
      <c r="C92" s="170" t="s">
        <v>1065</v>
      </c>
      <c r="D92" s="170" t="s">
        <v>551</v>
      </c>
      <c r="E92" s="170" t="s">
        <v>293</v>
      </c>
      <c r="F92" s="170" t="s">
        <v>431</v>
      </c>
      <c r="G92" s="170" t="s">
        <v>1083</v>
      </c>
      <c r="H92" s="170" t="s">
        <v>39</v>
      </c>
      <c r="I92" s="394">
        <v>3559000</v>
      </c>
      <c r="J92" s="395">
        <v>106.376</v>
      </c>
      <c r="K92" s="395">
        <v>1</v>
      </c>
      <c r="L92" s="395">
        <v>1.0806039999999999</v>
      </c>
      <c r="M92" s="394">
        <v>3845868.75</v>
      </c>
      <c r="N92" s="390">
        <v>7.3192200000000004E-3</v>
      </c>
    </row>
    <row r="93" spans="1:14">
      <c r="A93" s="170" t="s">
        <v>803</v>
      </c>
      <c r="B93" s="170" t="s">
        <v>802</v>
      </c>
      <c r="C93" s="170" t="s">
        <v>1065</v>
      </c>
      <c r="D93" s="170" t="s">
        <v>567</v>
      </c>
      <c r="E93" s="170" t="s">
        <v>685</v>
      </c>
      <c r="F93" s="170" t="s">
        <v>350</v>
      </c>
      <c r="G93" s="170" t="s">
        <v>1079</v>
      </c>
      <c r="H93" s="170" t="s">
        <v>39</v>
      </c>
      <c r="I93" s="394">
        <v>3800000</v>
      </c>
      <c r="J93" s="395">
        <v>105.215</v>
      </c>
      <c r="K93" s="395">
        <v>1</v>
      </c>
      <c r="L93" s="395">
        <v>1.0742130000000001</v>
      </c>
      <c r="M93" s="394">
        <v>4082010.28</v>
      </c>
      <c r="N93" s="390">
        <v>7.7686300000000003E-3</v>
      </c>
    </row>
    <row r="94" spans="1:14">
      <c r="A94" s="170" t="s">
        <v>522</v>
      </c>
      <c r="B94" s="170" t="s">
        <v>521</v>
      </c>
      <c r="C94" s="170" t="s">
        <v>1065</v>
      </c>
      <c r="D94" s="170" t="s">
        <v>508</v>
      </c>
      <c r="E94" s="170" t="s">
        <v>287</v>
      </c>
      <c r="F94" s="170" t="s">
        <v>404</v>
      </c>
      <c r="G94" s="170" t="s">
        <v>1139</v>
      </c>
      <c r="H94" s="170" t="s">
        <v>39</v>
      </c>
      <c r="I94" s="394">
        <v>847000</v>
      </c>
      <c r="J94" s="395">
        <v>100.432</v>
      </c>
      <c r="K94" s="395">
        <v>1</v>
      </c>
      <c r="L94" s="395">
        <v>1.01603</v>
      </c>
      <c r="M94" s="394">
        <v>860577.76</v>
      </c>
      <c r="N94" s="390">
        <v>1.6378E-3</v>
      </c>
    </row>
    <row r="95" spans="1:14">
      <c r="A95" s="170" t="s">
        <v>801</v>
      </c>
      <c r="B95" s="170" t="s">
        <v>800</v>
      </c>
      <c r="C95" s="170" t="s">
        <v>1065</v>
      </c>
      <c r="D95" s="170" t="s">
        <v>513</v>
      </c>
      <c r="E95" s="170" t="s">
        <v>293</v>
      </c>
      <c r="F95" s="170" t="s">
        <v>452</v>
      </c>
      <c r="G95" s="170" t="s">
        <v>1138</v>
      </c>
      <c r="H95" s="170" t="s">
        <v>39</v>
      </c>
      <c r="I95" s="394">
        <v>4897000</v>
      </c>
      <c r="J95" s="395">
        <v>104.462</v>
      </c>
      <c r="K95" s="395">
        <v>1</v>
      </c>
      <c r="L95" s="395">
        <v>1.069356</v>
      </c>
      <c r="M95" s="394">
        <v>5236636.88</v>
      </c>
      <c r="N95" s="390">
        <v>9.9660500000000006E-3</v>
      </c>
    </row>
    <row r="96" spans="1:14">
      <c r="A96" s="170" t="s">
        <v>798</v>
      </c>
      <c r="B96" s="170" t="s">
        <v>797</v>
      </c>
      <c r="C96" s="170" t="s">
        <v>1065</v>
      </c>
      <c r="D96" s="170" t="s">
        <v>508</v>
      </c>
      <c r="E96" s="170" t="s">
        <v>287</v>
      </c>
      <c r="F96" s="170" t="s">
        <v>422</v>
      </c>
      <c r="G96" s="170" t="s">
        <v>1137</v>
      </c>
      <c r="H96" s="170" t="s">
        <v>39</v>
      </c>
      <c r="I96" s="394">
        <v>1490000</v>
      </c>
      <c r="J96" s="395">
        <v>104.218</v>
      </c>
      <c r="K96" s="395">
        <v>1</v>
      </c>
      <c r="L96" s="395">
        <v>1.047993</v>
      </c>
      <c r="M96" s="394">
        <v>1561508.83</v>
      </c>
      <c r="N96" s="390">
        <v>2.9717699999999999E-3</v>
      </c>
    </row>
    <row r="97" spans="1:14">
      <c r="A97" s="170" t="s">
        <v>795</v>
      </c>
      <c r="B97" s="170" t="s">
        <v>794</v>
      </c>
      <c r="C97" s="170" t="s">
        <v>1065</v>
      </c>
      <c r="D97" s="170" t="s">
        <v>575</v>
      </c>
      <c r="E97" s="170" t="s">
        <v>1122</v>
      </c>
      <c r="F97" s="170" t="s">
        <v>464</v>
      </c>
      <c r="G97" s="170" t="s">
        <v>1136</v>
      </c>
      <c r="H97" s="170" t="s">
        <v>39</v>
      </c>
      <c r="I97" s="394">
        <v>1269000</v>
      </c>
      <c r="J97" s="395">
        <v>102.88800000000001</v>
      </c>
      <c r="K97" s="395">
        <v>1</v>
      </c>
      <c r="L97" s="395">
        <v>1.029269</v>
      </c>
      <c r="M97" s="394">
        <v>1306142.22</v>
      </c>
      <c r="N97" s="390">
        <v>2.48577E-3</v>
      </c>
    </row>
    <row r="98" spans="1:14">
      <c r="A98" s="170" t="s">
        <v>792</v>
      </c>
      <c r="B98" s="170" t="s">
        <v>791</v>
      </c>
      <c r="C98" s="170" t="s">
        <v>1065</v>
      </c>
      <c r="D98" s="170" t="s">
        <v>544</v>
      </c>
      <c r="E98" s="170" t="s">
        <v>499</v>
      </c>
      <c r="F98" s="170" t="s">
        <v>435</v>
      </c>
      <c r="G98" s="170" t="s">
        <v>1079</v>
      </c>
      <c r="H98" s="170" t="s">
        <v>39</v>
      </c>
      <c r="I98" s="394">
        <v>1582000</v>
      </c>
      <c r="J98" s="395">
        <v>103.179</v>
      </c>
      <c r="K98" s="395">
        <v>1</v>
      </c>
      <c r="L98" s="395">
        <v>1.044543</v>
      </c>
      <c r="M98" s="394">
        <v>1652467.7</v>
      </c>
      <c r="N98" s="390">
        <v>3.1448800000000001E-3</v>
      </c>
    </row>
    <row r="99" spans="1:14">
      <c r="A99" s="170" t="s">
        <v>790</v>
      </c>
      <c r="B99" s="170" t="s">
        <v>789</v>
      </c>
      <c r="C99" s="170" t="s">
        <v>1065</v>
      </c>
      <c r="D99" s="170" t="s">
        <v>544</v>
      </c>
      <c r="E99" s="170" t="s">
        <v>685</v>
      </c>
      <c r="F99" s="170" t="s">
        <v>349</v>
      </c>
      <c r="G99" s="170" t="s">
        <v>1079</v>
      </c>
      <c r="H99" s="170" t="s">
        <v>39</v>
      </c>
      <c r="I99" s="394">
        <v>2010000</v>
      </c>
      <c r="J99" s="395">
        <v>102.733</v>
      </c>
      <c r="K99" s="395">
        <v>1</v>
      </c>
      <c r="L99" s="395">
        <v>1.0493680000000001</v>
      </c>
      <c r="M99" s="394">
        <v>2109229.02</v>
      </c>
      <c r="N99" s="390">
        <v>4.0141600000000001E-3</v>
      </c>
    </row>
    <row r="100" spans="1:14">
      <c r="A100" s="170" t="s">
        <v>788</v>
      </c>
      <c r="B100" s="170" t="s">
        <v>787</v>
      </c>
      <c r="C100" s="170" t="s">
        <v>1065</v>
      </c>
      <c r="D100" s="170" t="s">
        <v>508</v>
      </c>
      <c r="E100" s="170" t="s">
        <v>576</v>
      </c>
      <c r="F100" s="170" t="s">
        <v>448</v>
      </c>
      <c r="G100" s="170" t="s">
        <v>1085</v>
      </c>
      <c r="H100" s="170" t="s">
        <v>39</v>
      </c>
      <c r="I100" s="394">
        <v>3212000</v>
      </c>
      <c r="J100" s="395">
        <v>104.063</v>
      </c>
      <c r="K100" s="395">
        <v>1</v>
      </c>
      <c r="L100" s="395">
        <v>1.0648899999999999</v>
      </c>
      <c r="M100" s="394">
        <v>3420428.02</v>
      </c>
      <c r="N100" s="390">
        <v>6.5095500000000002E-3</v>
      </c>
    </row>
    <row r="101" spans="1:14">
      <c r="A101" s="170" t="s">
        <v>786</v>
      </c>
      <c r="B101" s="170" t="s">
        <v>785</v>
      </c>
      <c r="C101" s="170" t="s">
        <v>1065</v>
      </c>
      <c r="D101" s="170" t="s">
        <v>567</v>
      </c>
      <c r="E101" s="170" t="s">
        <v>514</v>
      </c>
      <c r="F101" s="170" t="s">
        <v>459</v>
      </c>
      <c r="G101" s="170" t="s">
        <v>1135</v>
      </c>
      <c r="H101" s="170" t="s">
        <v>39</v>
      </c>
      <c r="I101" s="394">
        <v>1800000</v>
      </c>
      <c r="J101" s="395">
        <v>104.553</v>
      </c>
      <c r="K101" s="395">
        <v>1</v>
      </c>
      <c r="L101" s="395">
        <v>1.092427</v>
      </c>
      <c r="M101" s="394">
        <v>1966369.07</v>
      </c>
      <c r="N101" s="390">
        <v>3.7422699999999998E-3</v>
      </c>
    </row>
    <row r="102" spans="1:14">
      <c r="A102" s="170" t="s">
        <v>783</v>
      </c>
      <c r="B102" s="170" t="s">
        <v>782</v>
      </c>
      <c r="C102" s="170" t="s">
        <v>1065</v>
      </c>
      <c r="D102" s="170" t="s">
        <v>567</v>
      </c>
      <c r="E102" s="170" t="s">
        <v>514</v>
      </c>
      <c r="F102" s="170" t="s">
        <v>339</v>
      </c>
      <c r="G102" s="170" t="s">
        <v>1134</v>
      </c>
      <c r="H102" s="170" t="s">
        <v>39</v>
      </c>
      <c r="I102" s="394">
        <v>1850000</v>
      </c>
      <c r="J102" s="395">
        <v>102.714</v>
      </c>
      <c r="K102" s="395">
        <v>1</v>
      </c>
      <c r="L102" s="395">
        <v>1.048656</v>
      </c>
      <c r="M102" s="394">
        <v>1940014.33</v>
      </c>
      <c r="N102" s="390">
        <v>3.6921200000000001E-3</v>
      </c>
    </row>
    <row r="103" spans="1:14">
      <c r="A103" s="170" t="s">
        <v>780</v>
      </c>
      <c r="B103" s="170" t="s">
        <v>779</v>
      </c>
      <c r="C103" s="170" t="s">
        <v>1065</v>
      </c>
      <c r="D103" s="170" t="s">
        <v>567</v>
      </c>
      <c r="E103" s="170" t="s">
        <v>287</v>
      </c>
      <c r="F103" s="170" t="s">
        <v>429</v>
      </c>
      <c r="G103" s="170" t="s">
        <v>1133</v>
      </c>
      <c r="H103" s="170" t="s">
        <v>39</v>
      </c>
      <c r="I103" s="394">
        <v>3520000</v>
      </c>
      <c r="J103" s="395">
        <v>108.188</v>
      </c>
      <c r="K103" s="395">
        <v>1</v>
      </c>
      <c r="L103" s="395">
        <v>1.119812</v>
      </c>
      <c r="M103" s="394">
        <v>3941736.5</v>
      </c>
      <c r="N103" s="390">
        <v>7.5016700000000002E-3</v>
      </c>
    </row>
    <row r="104" spans="1:14">
      <c r="A104" s="170" t="s">
        <v>777</v>
      </c>
      <c r="B104" s="170" t="s">
        <v>776</v>
      </c>
      <c r="C104" s="170" t="s">
        <v>1065</v>
      </c>
      <c r="D104" s="170" t="s">
        <v>551</v>
      </c>
      <c r="E104" s="170" t="s">
        <v>499</v>
      </c>
      <c r="F104" s="170" t="s">
        <v>389</v>
      </c>
      <c r="G104" s="170" t="s">
        <v>1132</v>
      </c>
      <c r="H104" s="170" t="s">
        <v>39</v>
      </c>
      <c r="I104" s="394">
        <v>1811000</v>
      </c>
      <c r="J104" s="395">
        <v>105.015</v>
      </c>
      <c r="K104" s="395">
        <v>1</v>
      </c>
      <c r="L104" s="395">
        <v>1.077404</v>
      </c>
      <c r="M104" s="394">
        <v>1951178.82</v>
      </c>
      <c r="N104" s="390">
        <v>3.7133700000000001E-3</v>
      </c>
    </row>
    <row r="105" spans="1:14">
      <c r="A105" s="170" t="s">
        <v>774</v>
      </c>
      <c r="B105" s="170" t="s">
        <v>773</v>
      </c>
      <c r="C105" s="170" t="s">
        <v>1065</v>
      </c>
      <c r="D105" s="170" t="s">
        <v>622</v>
      </c>
      <c r="E105" s="170" t="s">
        <v>293</v>
      </c>
      <c r="F105" s="170" t="s">
        <v>469</v>
      </c>
      <c r="G105" s="170" t="s">
        <v>1079</v>
      </c>
      <c r="H105" s="170" t="s">
        <v>39</v>
      </c>
      <c r="I105" s="394">
        <v>4800000</v>
      </c>
      <c r="J105" s="395">
        <v>93.941000000000003</v>
      </c>
      <c r="K105" s="395">
        <v>1</v>
      </c>
      <c r="L105" s="395">
        <v>0.94598499999999996</v>
      </c>
      <c r="M105" s="394">
        <v>4540729.6399999997</v>
      </c>
      <c r="N105" s="390">
        <v>8.6416400000000008E-3</v>
      </c>
    </row>
    <row r="106" spans="1:14">
      <c r="A106" s="170" t="s">
        <v>772</v>
      </c>
      <c r="B106" s="170" t="s">
        <v>771</v>
      </c>
      <c r="C106" s="170" t="s">
        <v>1065</v>
      </c>
      <c r="D106" s="170" t="s">
        <v>622</v>
      </c>
      <c r="E106" s="170" t="s">
        <v>514</v>
      </c>
      <c r="F106" s="170" t="s">
        <v>482</v>
      </c>
      <c r="G106" s="170" t="s">
        <v>1131</v>
      </c>
      <c r="H106" s="170" t="s">
        <v>39</v>
      </c>
      <c r="I106" s="394">
        <v>1498000</v>
      </c>
      <c r="J106" s="395">
        <v>110.22</v>
      </c>
      <c r="K106" s="395">
        <v>1</v>
      </c>
      <c r="L106" s="395">
        <v>1.1115330000000001</v>
      </c>
      <c r="M106" s="394">
        <v>1665076.93</v>
      </c>
      <c r="N106" s="390">
        <v>3.1688699999999998E-3</v>
      </c>
    </row>
    <row r="107" spans="1:14">
      <c r="A107" s="170" t="s">
        <v>769</v>
      </c>
      <c r="B107" s="170" t="s">
        <v>768</v>
      </c>
      <c r="C107" s="170" t="s">
        <v>1065</v>
      </c>
      <c r="D107" s="170" t="s">
        <v>567</v>
      </c>
      <c r="E107" s="170" t="s">
        <v>499</v>
      </c>
      <c r="F107" s="170" t="s">
        <v>379</v>
      </c>
      <c r="G107" s="170" t="s">
        <v>1130</v>
      </c>
      <c r="H107" s="170" t="s">
        <v>39</v>
      </c>
      <c r="I107" s="394">
        <v>1900000</v>
      </c>
      <c r="J107" s="395">
        <v>117.751</v>
      </c>
      <c r="K107" s="395">
        <v>1</v>
      </c>
      <c r="L107" s="395">
        <v>1.2244349999999999</v>
      </c>
      <c r="M107" s="394">
        <v>2326425.85</v>
      </c>
      <c r="N107" s="390">
        <v>4.42751E-3</v>
      </c>
    </row>
    <row r="108" spans="1:14">
      <c r="A108" s="170" t="s">
        <v>766</v>
      </c>
      <c r="B108" s="170" t="s">
        <v>765</v>
      </c>
      <c r="C108" s="170" t="s">
        <v>1065</v>
      </c>
      <c r="D108" s="170" t="s">
        <v>567</v>
      </c>
      <c r="E108" s="170" t="s">
        <v>499</v>
      </c>
      <c r="F108" s="170" t="s">
        <v>379</v>
      </c>
      <c r="G108" s="170" t="s">
        <v>1129</v>
      </c>
      <c r="H108" s="170" t="s">
        <v>39</v>
      </c>
      <c r="I108" s="394">
        <v>661000</v>
      </c>
      <c r="J108" s="395">
        <v>107.398</v>
      </c>
      <c r="K108" s="395">
        <v>1</v>
      </c>
      <c r="L108" s="395">
        <v>1.0773429999999999</v>
      </c>
      <c r="M108" s="394">
        <v>712123.57</v>
      </c>
      <c r="N108" s="390">
        <v>1.35527E-3</v>
      </c>
    </row>
    <row r="109" spans="1:14">
      <c r="A109" s="170" t="s">
        <v>763</v>
      </c>
      <c r="B109" s="170" t="s">
        <v>762</v>
      </c>
      <c r="C109" s="170" t="s">
        <v>1065</v>
      </c>
      <c r="D109" s="170" t="s">
        <v>567</v>
      </c>
      <c r="E109" s="170" t="s">
        <v>499</v>
      </c>
      <c r="F109" s="170" t="s">
        <v>379</v>
      </c>
      <c r="G109" s="170" t="s">
        <v>1128</v>
      </c>
      <c r="H109" s="170" t="s">
        <v>39</v>
      </c>
      <c r="I109" s="394">
        <v>1276000</v>
      </c>
      <c r="J109" s="395">
        <v>111.254</v>
      </c>
      <c r="K109" s="395">
        <v>1</v>
      </c>
      <c r="L109" s="395">
        <v>1.119602</v>
      </c>
      <c r="M109" s="394">
        <v>1428611.92</v>
      </c>
      <c r="N109" s="390">
        <v>2.7188500000000001E-3</v>
      </c>
    </row>
    <row r="110" spans="1:14">
      <c r="A110" s="170" t="s">
        <v>759</v>
      </c>
      <c r="B110" s="170" t="s">
        <v>758</v>
      </c>
      <c r="C110" s="170" t="s">
        <v>1065</v>
      </c>
      <c r="D110" s="170" t="s">
        <v>612</v>
      </c>
      <c r="E110" s="170" t="s">
        <v>514</v>
      </c>
      <c r="F110" s="170" t="s">
        <v>353</v>
      </c>
      <c r="G110" s="170" t="s">
        <v>1127</v>
      </c>
      <c r="H110" s="170" t="s">
        <v>39</v>
      </c>
      <c r="I110" s="394">
        <v>2435000</v>
      </c>
      <c r="J110" s="395">
        <v>94.492999999999995</v>
      </c>
      <c r="K110" s="395">
        <v>1</v>
      </c>
      <c r="L110" s="395">
        <v>0.96951299999999996</v>
      </c>
      <c r="M110" s="394">
        <v>2360764.9700000002</v>
      </c>
      <c r="N110" s="390">
        <v>4.4928600000000004E-3</v>
      </c>
    </row>
    <row r="111" spans="1:14">
      <c r="A111" s="170" t="s">
        <v>756</v>
      </c>
      <c r="B111" s="170" t="s">
        <v>755</v>
      </c>
      <c r="C111" s="170" t="s">
        <v>1065</v>
      </c>
      <c r="D111" s="170" t="s">
        <v>508</v>
      </c>
      <c r="E111" s="170" t="s">
        <v>685</v>
      </c>
      <c r="F111" s="170" t="s">
        <v>461</v>
      </c>
      <c r="G111" s="170" t="s">
        <v>1080</v>
      </c>
      <c r="H111" s="170" t="s">
        <v>39</v>
      </c>
      <c r="I111" s="394">
        <v>2282000</v>
      </c>
      <c r="J111" s="395">
        <v>104.029</v>
      </c>
      <c r="K111" s="395">
        <v>1</v>
      </c>
      <c r="L111" s="395">
        <v>1.05738</v>
      </c>
      <c r="M111" s="394">
        <v>2412941.79</v>
      </c>
      <c r="N111" s="390">
        <v>4.5921599999999996E-3</v>
      </c>
    </row>
    <row r="112" spans="1:14">
      <c r="A112" s="170" t="s">
        <v>754</v>
      </c>
      <c r="B112" s="170" t="s">
        <v>753</v>
      </c>
      <c r="C112" s="170" t="s">
        <v>1065</v>
      </c>
      <c r="D112" s="170" t="s">
        <v>567</v>
      </c>
      <c r="E112" s="170" t="s">
        <v>287</v>
      </c>
      <c r="F112" s="170" t="s">
        <v>393</v>
      </c>
      <c r="G112" s="170" t="s">
        <v>1089</v>
      </c>
      <c r="H112" s="170" t="s">
        <v>39</v>
      </c>
      <c r="I112" s="394">
        <v>4119000</v>
      </c>
      <c r="J112" s="395">
        <v>105.95699999999999</v>
      </c>
      <c r="K112" s="395">
        <v>1</v>
      </c>
      <c r="L112" s="395">
        <v>1.0857330000000001</v>
      </c>
      <c r="M112" s="394">
        <v>4472135.03</v>
      </c>
      <c r="N112" s="390">
        <v>8.5111000000000006E-3</v>
      </c>
    </row>
    <row r="113" spans="1:14">
      <c r="A113" s="170" t="s">
        <v>752</v>
      </c>
      <c r="B113" s="170" t="s">
        <v>751</v>
      </c>
      <c r="C113" s="170" t="s">
        <v>1065</v>
      </c>
      <c r="D113" s="170" t="s">
        <v>575</v>
      </c>
      <c r="E113" s="170" t="s">
        <v>547</v>
      </c>
      <c r="F113" s="170" t="s">
        <v>336</v>
      </c>
      <c r="G113" s="170" t="s">
        <v>1126</v>
      </c>
      <c r="H113" s="170" t="s">
        <v>39</v>
      </c>
      <c r="I113" s="394">
        <v>967000</v>
      </c>
      <c r="J113" s="395">
        <v>103.15300000000001</v>
      </c>
      <c r="K113" s="395">
        <v>1</v>
      </c>
      <c r="L113" s="395">
        <v>1.046756</v>
      </c>
      <c r="M113" s="394">
        <v>1012213.08</v>
      </c>
      <c r="N113" s="390">
        <v>1.9263800000000001E-3</v>
      </c>
    </row>
    <row r="114" spans="1:14">
      <c r="A114" s="170" t="s">
        <v>749</v>
      </c>
      <c r="B114" s="170" t="s">
        <v>748</v>
      </c>
      <c r="C114" s="170" t="s">
        <v>1065</v>
      </c>
      <c r="D114" s="170" t="s">
        <v>513</v>
      </c>
      <c r="E114" s="170" t="s">
        <v>499</v>
      </c>
      <c r="F114" s="170" t="s">
        <v>397</v>
      </c>
      <c r="G114" s="170" t="s">
        <v>1125</v>
      </c>
      <c r="H114" s="170" t="s">
        <v>39</v>
      </c>
      <c r="I114" s="394">
        <v>1000000</v>
      </c>
      <c r="J114" s="395">
        <v>103.953</v>
      </c>
      <c r="K114" s="395">
        <v>1</v>
      </c>
      <c r="L114" s="395">
        <v>1.0531170000000001</v>
      </c>
      <c r="M114" s="394">
        <v>1053116.81</v>
      </c>
      <c r="N114" s="390">
        <v>2.0042300000000001E-3</v>
      </c>
    </row>
    <row r="115" spans="1:14">
      <c r="A115" s="170" t="s">
        <v>746</v>
      </c>
      <c r="B115" s="170" t="s">
        <v>745</v>
      </c>
      <c r="C115" s="170" t="s">
        <v>1065</v>
      </c>
      <c r="D115" s="170" t="s">
        <v>567</v>
      </c>
      <c r="E115" s="170" t="s">
        <v>685</v>
      </c>
      <c r="F115" s="170" t="s">
        <v>402</v>
      </c>
      <c r="G115" s="170" t="s">
        <v>1079</v>
      </c>
      <c r="H115" s="170" t="s">
        <v>39</v>
      </c>
      <c r="I115" s="394">
        <v>3597000</v>
      </c>
      <c r="J115" s="395">
        <v>104.557</v>
      </c>
      <c r="K115" s="395">
        <v>1</v>
      </c>
      <c r="L115" s="395">
        <v>1.0921829999999999</v>
      </c>
      <c r="M115" s="394">
        <v>3928582.3</v>
      </c>
      <c r="N115" s="390">
        <v>7.4766399999999997E-3</v>
      </c>
    </row>
    <row r="116" spans="1:14">
      <c r="A116" s="170" t="s">
        <v>744</v>
      </c>
      <c r="B116" s="170" t="s">
        <v>743</v>
      </c>
      <c r="C116" s="170" t="s">
        <v>1065</v>
      </c>
      <c r="D116" s="170" t="s">
        <v>588</v>
      </c>
      <c r="E116" s="170" t="s">
        <v>685</v>
      </c>
      <c r="F116" s="170" t="s">
        <v>382</v>
      </c>
      <c r="G116" s="170" t="s">
        <v>1124</v>
      </c>
      <c r="H116" s="170" t="s">
        <v>39</v>
      </c>
      <c r="I116" s="394">
        <v>2450000</v>
      </c>
      <c r="J116" s="395">
        <v>102.608</v>
      </c>
      <c r="K116" s="395">
        <v>1</v>
      </c>
      <c r="L116" s="395">
        <v>1.0393509999999999</v>
      </c>
      <c r="M116" s="394">
        <v>2546409.54</v>
      </c>
      <c r="N116" s="390">
        <v>4.8461700000000003E-3</v>
      </c>
    </row>
    <row r="117" spans="1:14">
      <c r="A117" s="170" t="s">
        <v>741</v>
      </c>
      <c r="B117" s="170" t="s">
        <v>740</v>
      </c>
      <c r="C117" s="170" t="s">
        <v>1065</v>
      </c>
      <c r="D117" s="170" t="s">
        <v>697</v>
      </c>
      <c r="E117" s="170" t="s">
        <v>685</v>
      </c>
      <c r="F117" s="170" t="s">
        <v>363</v>
      </c>
      <c r="G117" s="170" t="s">
        <v>1123</v>
      </c>
      <c r="H117" s="170" t="s">
        <v>39</v>
      </c>
      <c r="I117" s="394">
        <v>3007000</v>
      </c>
      <c r="J117" s="395">
        <v>106.322</v>
      </c>
      <c r="K117" s="395">
        <v>1</v>
      </c>
      <c r="L117" s="395">
        <v>1.0759080000000001</v>
      </c>
      <c r="M117" s="394">
        <v>3235256.43</v>
      </c>
      <c r="N117" s="390">
        <v>6.1571400000000002E-3</v>
      </c>
    </row>
    <row r="118" spans="1:14">
      <c r="A118" s="170" t="s">
        <v>738</v>
      </c>
      <c r="B118" s="170" t="s">
        <v>737</v>
      </c>
      <c r="C118" s="170" t="s">
        <v>1065</v>
      </c>
      <c r="D118" s="170" t="s">
        <v>567</v>
      </c>
      <c r="E118" s="170" t="s">
        <v>293</v>
      </c>
      <c r="F118" s="170" t="s">
        <v>370</v>
      </c>
      <c r="G118" s="170" t="s">
        <v>1077</v>
      </c>
      <c r="H118" s="170" t="s">
        <v>39</v>
      </c>
      <c r="I118" s="394">
        <v>5447000</v>
      </c>
      <c r="J118" s="395">
        <v>103.867</v>
      </c>
      <c r="K118" s="395">
        <v>1</v>
      </c>
      <c r="L118" s="395">
        <v>1.0516559999999999</v>
      </c>
      <c r="M118" s="394">
        <v>5728371.8700000001</v>
      </c>
      <c r="N118" s="390">
        <v>1.0901889999999999E-2</v>
      </c>
    </row>
    <row r="119" spans="1:14">
      <c r="A119" s="170" t="s">
        <v>519</v>
      </c>
      <c r="B119" s="170" t="s">
        <v>518</v>
      </c>
      <c r="C119" s="170" t="s">
        <v>1065</v>
      </c>
      <c r="D119" s="170" t="s">
        <v>508</v>
      </c>
      <c r="E119" s="170" t="s">
        <v>685</v>
      </c>
      <c r="F119" s="170" t="s">
        <v>409</v>
      </c>
      <c r="G119" s="170" t="s">
        <v>1077</v>
      </c>
      <c r="H119" s="170" t="s">
        <v>39</v>
      </c>
      <c r="I119" s="394">
        <v>2029000</v>
      </c>
      <c r="J119" s="395">
        <v>100.33799999999999</v>
      </c>
      <c r="K119" s="395">
        <v>1</v>
      </c>
      <c r="L119" s="395">
        <v>1.01512</v>
      </c>
      <c r="M119" s="394">
        <v>2059679.04</v>
      </c>
      <c r="N119" s="390">
        <v>3.9198599999999998E-3</v>
      </c>
    </row>
    <row r="120" spans="1:14">
      <c r="A120" s="170" t="s">
        <v>516</v>
      </c>
      <c r="B120" s="170" t="s">
        <v>515</v>
      </c>
      <c r="C120" s="170" t="s">
        <v>1065</v>
      </c>
      <c r="D120" s="170" t="s">
        <v>513</v>
      </c>
      <c r="E120" s="170" t="s">
        <v>1122</v>
      </c>
      <c r="F120" s="170" t="s">
        <v>346</v>
      </c>
      <c r="G120" s="170" t="s">
        <v>1121</v>
      </c>
      <c r="H120" s="170" t="s">
        <v>39</v>
      </c>
      <c r="I120" s="394">
        <v>2224000</v>
      </c>
      <c r="J120" s="395">
        <v>97.575999999999993</v>
      </c>
      <c r="K120" s="395">
        <v>1</v>
      </c>
      <c r="L120" s="395">
        <v>0.98580699999999999</v>
      </c>
      <c r="M120" s="394">
        <v>2192435.04</v>
      </c>
      <c r="N120" s="390">
        <v>4.1725099999999999E-3</v>
      </c>
    </row>
    <row r="121" spans="1:14">
      <c r="A121" s="170" t="s">
        <v>736</v>
      </c>
      <c r="B121" s="170" t="s">
        <v>735</v>
      </c>
      <c r="C121" s="170" t="s">
        <v>1065</v>
      </c>
      <c r="D121" s="170" t="s">
        <v>642</v>
      </c>
      <c r="E121" s="170" t="s">
        <v>287</v>
      </c>
      <c r="F121" s="170" t="s">
        <v>373</v>
      </c>
      <c r="G121" s="170" t="s">
        <v>1120</v>
      </c>
      <c r="H121" s="170" t="s">
        <v>39</v>
      </c>
      <c r="I121" s="394">
        <v>953000</v>
      </c>
      <c r="J121" s="395">
        <v>104.73099999999999</v>
      </c>
      <c r="K121" s="395">
        <v>1</v>
      </c>
      <c r="L121" s="395">
        <v>1.0581119999999999</v>
      </c>
      <c r="M121" s="394">
        <v>1008380.82</v>
      </c>
      <c r="N121" s="390">
        <v>1.91909E-3</v>
      </c>
    </row>
    <row r="122" spans="1:14">
      <c r="A122" s="170" t="s">
        <v>733</v>
      </c>
      <c r="B122" s="170" t="s">
        <v>732</v>
      </c>
      <c r="C122" s="170" t="s">
        <v>1065</v>
      </c>
      <c r="D122" s="170" t="s">
        <v>551</v>
      </c>
      <c r="E122" s="170" t="s">
        <v>532</v>
      </c>
      <c r="F122" s="170" t="s">
        <v>367</v>
      </c>
      <c r="G122" s="170" t="s">
        <v>1118</v>
      </c>
      <c r="H122" s="170" t="s">
        <v>39</v>
      </c>
      <c r="I122" s="394">
        <v>4159000</v>
      </c>
      <c r="J122" s="395">
        <v>102.316</v>
      </c>
      <c r="K122" s="395">
        <v>1</v>
      </c>
      <c r="L122" s="395">
        <v>1.0318149999999999</v>
      </c>
      <c r="M122" s="394">
        <v>4291318.13</v>
      </c>
      <c r="N122" s="390">
        <v>8.1669800000000008E-3</v>
      </c>
    </row>
    <row r="123" spans="1:14">
      <c r="A123" s="170" t="s">
        <v>731</v>
      </c>
      <c r="B123" s="170" t="s">
        <v>730</v>
      </c>
      <c r="C123" s="170" t="s">
        <v>1065</v>
      </c>
      <c r="D123" s="170" t="s">
        <v>551</v>
      </c>
      <c r="E123" s="170" t="s">
        <v>293</v>
      </c>
      <c r="F123" s="170" t="s">
        <v>364</v>
      </c>
      <c r="G123" s="170" t="s">
        <v>1119</v>
      </c>
      <c r="H123" s="170" t="s">
        <v>39</v>
      </c>
      <c r="I123" s="394">
        <v>3340000</v>
      </c>
      <c r="J123" s="395">
        <v>105.706</v>
      </c>
      <c r="K123" s="395">
        <v>1</v>
      </c>
      <c r="L123" s="395">
        <v>1.0686850000000001</v>
      </c>
      <c r="M123" s="394">
        <v>3569407.9</v>
      </c>
      <c r="N123" s="390">
        <v>6.79308E-3</v>
      </c>
    </row>
    <row r="124" spans="1:14">
      <c r="A124" s="170" t="s">
        <v>510</v>
      </c>
      <c r="B124" s="170" t="s">
        <v>509</v>
      </c>
      <c r="C124" s="170" t="s">
        <v>1065</v>
      </c>
      <c r="D124" s="170" t="s">
        <v>508</v>
      </c>
      <c r="E124" s="170" t="s">
        <v>499</v>
      </c>
      <c r="F124" s="170" t="s">
        <v>443</v>
      </c>
      <c r="G124" s="170" t="s">
        <v>1118</v>
      </c>
      <c r="H124" s="170" t="s">
        <v>39</v>
      </c>
      <c r="I124" s="394">
        <v>2606000</v>
      </c>
      <c r="J124" s="395">
        <v>101.30500000000001</v>
      </c>
      <c r="K124" s="395">
        <v>1</v>
      </c>
      <c r="L124" s="395">
        <v>1.0213080000000001</v>
      </c>
      <c r="M124" s="394">
        <v>2661527.36</v>
      </c>
      <c r="N124" s="390">
        <v>5.0652600000000002E-3</v>
      </c>
    </row>
    <row r="125" spans="1:14">
      <c r="A125" s="170" t="s">
        <v>728</v>
      </c>
      <c r="B125" s="170" t="s">
        <v>727</v>
      </c>
      <c r="C125" s="170" t="s">
        <v>1065</v>
      </c>
      <c r="D125" s="170" t="s">
        <v>508</v>
      </c>
      <c r="E125" s="170" t="s">
        <v>514</v>
      </c>
      <c r="F125" s="170" t="s">
        <v>475</v>
      </c>
      <c r="G125" s="170" t="s">
        <v>1117</v>
      </c>
      <c r="H125" s="170" t="s">
        <v>39</v>
      </c>
      <c r="I125" s="394">
        <v>4293000</v>
      </c>
      <c r="J125" s="395">
        <v>105.46599999999999</v>
      </c>
      <c r="K125" s="395">
        <v>1</v>
      </c>
      <c r="L125" s="395">
        <v>1.0633090000000001</v>
      </c>
      <c r="M125" s="394">
        <v>4564786.8499999996</v>
      </c>
      <c r="N125" s="390">
        <v>8.6874299999999995E-3</v>
      </c>
    </row>
    <row r="126" spans="1:14">
      <c r="A126" s="170" t="s">
        <v>726</v>
      </c>
      <c r="B126" s="170" t="s">
        <v>725</v>
      </c>
      <c r="C126" s="170" t="s">
        <v>1065</v>
      </c>
      <c r="D126" s="170" t="s">
        <v>567</v>
      </c>
      <c r="E126" s="170" t="s">
        <v>514</v>
      </c>
      <c r="F126" s="170" t="s">
        <v>333</v>
      </c>
      <c r="G126" s="170" t="s">
        <v>1095</v>
      </c>
      <c r="H126" s="170" t="s">
        <v>39</v>
      </c>
      <c r="I126" s="394">
        <v>3444300</v>
      </c>
      <c r="J126" s="395">
        <v>106.17700000000001</v>
      </c>
      <c r="K126" s="395">
        <v>1</v>
      </c>
      <c r="L126" s="395">
        <v>1.0705819999999999</v>
      </c>
      <c r="M126" s="394">
        <v>3687407.3</v>
      </c>
      <c r="N126" s="390">
        <v>7.0176500000000003E-3</v>
      </c>
    </row>
    <row r="127" spans="1:14">
      <c r="A127" s="170" t="s">
        <v>506</v>
      </c>
      <c r="B127" s="170" t="s">
        <v>505</v>
      </c>
      <c r="C127" s="170" t="s">
        <v>1065</v>
      </c>
      <c r="D127" s="170" t="s">
        <v>497</v>
      </c>
      <c r="E127" s="170" t="s">
        <v>499</v>
      </c>
      <c r="F127" s="170" t="s">
        <v>352</v>
      </c>
      <c r="G127" s="170" t="s">
        <v>1116</v>
      </c>
      <c r="H127" s="170" t="s">
        <v>39</v>
      </c>
      <c r="I127" s="394">
        <v>2501000</v>
      </c>
      <c r="J127" s="395">
        <v>100.422</v>
      </c>
      <c r="K127" s="395">
        <v>1</v>
      </c>
      <c r="L127" s="395">
        <v>1.011638</v>
      </c>
      <c r="M127" s="394">
        <v>2530107.7999999998</v>
      </c>
      <c r="N127" s="390">
        <v>4.8151499999999998E-3</v>
      </c>
    </row>
    <row r="128" spans="1:14">
      <c r="A128" s="170" t="s">
        <v>723</v>
      </c>
      <c r="B128" s="170" t="s">
        <v>722</v>
      </c>
      <c r="C128" s="170" t="s">
        <v>1065</v>
      </c>
      <c r="D128" s="170" t="s">
        <v>588</v>
      </c>
      <c r="E128" s="170" t="s">
        <v>499</v>
      </c>
      <c r="F128" s="170" t="s">
        <v>392</v>
      </c>
      <c r="G128" s="170" t="s">
        <v>1115</v>
      </c>
      <c r="H128" s="170" t="s">
        <v>39</v>
      </c>
      <c r="I128" s="394">
        <v>2000000</v>
      </c>
      <c r="J128" s="395">
        <v>104.70699999999999</v>
      </c>
      <c r="K128" s="395">
        <v>1</v>
      </c>
      <c r="L128" s="395">
        <v>1.074317</v>
      </c>
      <c r="M128" s="394">
        <v>2148633.15</v>
      </c>
      <c r="N128" s="390">
        <v>4.0891499999999997E-3</v>
      </c>
    </row>
    <row r="129" spans="1:14">
      <c r="A129" s="170" t="s">
        <v>720</v>
      </c>
      <c r="B129" s="170" t="s">
        <v>719</v>
      </c>
      <c r="C129" s="170" t="s">
        <v>1065</v>
      </c>
      <c r="D129" s="170" t="s">
        <v>575</v>
      </c>
      <c r="E129" s="170" t="s">
        <v>571</v>
      </c>
      <c r="F129" s="170" t="s">
        <v>417</v>
      </c>
      <c r="G129" s="170" t="s">
        <v>1114</v>
      </c>
      <c r="H129" s="170" t="s">
        <v>39</v>
      </c>
      <c r="I129" s="394">
        <v>3700000</v>
      </c>
      <c r="J129" s="395">
        <v>75.224999999999994</v>
      </c>
      <c r="K129" s="395">
        <v>1</v>
      </c>
      <c r="L129" s="395">
        <v>0.76147200000000004</v>
      </c>
      <c r="M129" s="394">
        <v>2817447.22</v>
      </c>
      <c r="N129" s="390">
        <v>5.3619899999999996E-3</v>
      </c>
    </row>
    <row r="130" spans="1:14">
      <c r="A130" s="170" t="s">
        <v>717</v>
      </c>
      <c r="B130" s="170" t="s">
        <v>716</v>
      </c>
      <c r="C130" s="170" t="s">
        <v>1065</v>
      </c>
      <c r="D130" s="170" t="s">
        <v>544</v>
      </c>
      <c r="E130" s="170" t="s">
        <v>287</v>
      </c>
      <c r="F130" s="170" t="s">
        <v>359</v>
      </c>
      <c r="G130" s="170" t="s">
        <v>1113</v>
      </c>
      <c r="H130" s="170" t="s">
        <v>39</v>
      </c>
      <c r="I130" s="394">
        <v>1298000</v>
      </c>
      <c r="J130" s="395">
        <v>102.117</v>
      </c>
      <c r="K130" s="395">
        <v>1</v>
      </c>
      <c r="L130" s="395">
        <v>1.0407949999999999</v>
      </c>
      <c r="M130" s="394">
        <v>1350951.91</v>
      </c>
      <c r="N130" s="390">
        <v>2.5710500000000001E-3</v>
      </c>
    </row>
    <row r="131" spans="1:14">
      <c r="A131" s="170" t="s">
        <v>714</v>
      </c>
      <c r="B131" s="170" t="s">
        <v>713</v>
      </c>
      <c r="C131" s="170" t="s">
        <v>1065</v>
      </c>
      <c r="D131" s="170" t="s">
        <v>567</v>
      </c>
      <c r="E131" s="170" t="s">
        <v>293</v>
      </c>
      <c r="F131" s="170" t="s">
        <v>358</v>
      </c>
      <c r="G131" s="170" t="s">
        <v>1112</v>
      </c>
      <c r="H131" s="170" t="s">
        <v>39</v>
      </c>
      <c r="I131" s="394">
        <v>1600000</v>
      </c>
      <c r="J131" s="395">
        <v>98.802000000000007</v>
      </c>
      <c r="K131" s="395">
        <v>1</v>
      </c>
      <c r="L131" s="395">
        <v>1.046376</v>
      </c>
      <c r="M131" s="394">
        <v>1674201.86</v>
      </c>
      <c r="N131" s="390">
        <v>3.1862399999999999E-3</v>
      </c>
    </row>
    <row r="132" spans="1:14">
      <c r="A132" s="170" t="s">
        <v>711</v>
      </c>
      <c r="B132" s="170" t="s">
        <v>710</v>
      </c>
      <c r="C132" s="170" t="s">
        <v>1065</v>
      </c>
      <c r="D132" s="170" t="s">
        <v>551</v>
      </c>
      <c r="E132" s="170" t="s">
        <v>600</v>
      </c>
      <c r="F132" s="170" t="s">
        <v>374</v>
      </c>
      <c r="G132" s="170" t="s">
        <v>1111</v>
      </c>
      <c r="H132" s="170" t="s">
        <v>39</v>
      </c>
      <c r="I132" s="394">
        <v>2817000</v>
      </c>
      <c r="J132" s="395">
        <v>103.742</v>
      </c>
      <c r="K132" s="395">
        <v>1</v>
      </c>
      <c r="L132" s="395">
        <v>1.0603929999999999</v>
      </c>
      <c r="M132" s="394">
        <v>2987125.96</v>
      </c>
      <c r="N132" s="390">
        <v>5.6849200000000004E-3</v>
      </c>
    </row>
    <row r="133" spans="1:14">
      <c r="A133" s="170" t="s">
        <v>708</v>
      </c>
      <c r="B133" s="170" t="s">
        <v>707</v>
      </c>
      <c r="C133" s="170" t="s">
        <v>1065</v>
      </c>
      <c r="D133" s="170" t="s">
        <v>1064</v>
      </c>
      <c r="E133" s="170" t="s">
        <v>499</v>
      </c>
      <c r="F133" s="170" t="s">
        <v>455</v>
      </c>
      <c r="G133" s="170" t="s">
        <v>1110</v>
      </c>
      <c r="H133" s="170" t="s">
        <v>39</v>
      </c>
      <c r="I133" s="394">
        <v>3627000</v>
      </c>
      <c r="J133" s="395">
        <v>103.101</v>
      </c>
      <c r="K133" s="395">
        <v>1</v>
      </c>
      <c r="L133" s="395">
        <v>1.0585370000000001</v>
      </c>
      <c r="M133" s="394">
        <v>3839314.87</v>
      </c>
      <c r="N133" s="390">
        <v>7.3067499999999999E-3</v>
      </c>
    </row>
    <row r="134" spans="1:14">
      <c r="A134" s="170" t="s">
        <v>705</v>
      </c>
      <c r="B134" s="170" t="s">
        <v>704</v>
      </c>
      <c r="C134" s="170" t="s">
        <v>1065</v>
      </c>
      <c r="D134" s="170" t="s">
        <v>622</v>
      </c>
      <c r="E134" s="170" t="s">
        <v>293</v>
      </c>
      <c r="F134" s="170" t="s">
        <v>416</v>
      </c>
      <c r="G134" s="170" t="s">
        <v>1109</v>
      </c>
      <c r="H134" s="170" t="s">
        <v>39</v>
      </c>
      <c r="I134" s="394">
        <v>4063000</v>
      </c>
      <c r="J134" s="395">
        <v>102.029</v>
      </c>
      <c r="K134" s="395">
        <v>1</v>
      </c>
      <c r="L134" s="395">
        <v>1.0561259999999999</v>
      </c>
      <c r="M134" s="394">
        <v>4291038.38</v>
      </c>
      <c r="N134" s="390">
        <v>8.1664400000000005E-3</v>
      </c>
    </row>
    <row r="135" spans="1:14">
      <c r="A135" s="170" t="s">
        <v>702</v>
      </c>
      <c r="B135" s="170" t="s">
        <v>701</v>
      </c>
      <c r="C135" s="170" t="s">
        <v>1065</v>
      </c>
      <c r="D135" s="170" t="s">
        <v>575</v>
      </c>
      <c r="E135" s="170" t="s">
        <v>576</v>
      </c>
      <c r="F135" s="170" t="s">
        <v>413</v>
      </c>
      <c r="G135" s="170" t="s">
        <v>1108</v>
      </c>
      <c r="H135" s="170" t="s">
        <v>39</v>
      </c>
      <c r="I135" s="394">
        <v>3000000</v>
      </c>
      <c r="J135" s="395">
        <v>106.25</v>
      </c>
      <c r="K135" s="395">
        <v>1</v>
      </c>
      <c r="L135" s="395">
        <v>1.0825629999999999</v>
      </c>
      <c r="M135" s="394">
        <v>3247687.5</v>
      </c>
      <c r="N135" s="390">
        <v>6.1808000000000002E-3</v>
      </c>
    </row>
    <row r="136" spans="1:14">
      <c r="A136" s="170" t="s">
        <v>699</v>
      </c>
      <c r="B136" s="170" t="s">
        <v>698</v>
      </c>
      <c r="C136" s="170" t="s">
        <v>1065</v>
      </c>
      <c r="D136" s="170" t="s">
        <v>1064</v>
      </c>
      <c r="E136" s="170" t="s">
        <v>514</v>
      </c>
      <c r="F136" s="170" t="s">
        <v>383</v>
      </c>
      <c r="G136" s="170" t="s">
        <v>1107</v>
      </c>
      <c r="H136" s="170" t="s">
        <v>39</v>
      </c>
      <c r="I136" s="394">
        <v>1834000</v>
      </c>
      <c r="J136" s="395">
        <v>104.541</v>
      </c>
      <c r="K136" s="395">
        <v>1</v>
      </c>
      <c r="L136" s="395">
        <v>1.0766249999999999</v>
      </c>
      <c r="M136" s="394">
        <v>1974530.76</v>
      </c>
      <c r="N136" s="390">
        <v>3.7578099999999999E-3</v>
      </c>
    </row>
    <row r="137" spans="1:14">
      <c r="A137" s="170" t="s">
        <v>695</v>
      </c>
      <c r="B137" s="170" t="s">
        <v>694</v>
      </c>
      <c r="C137" s="170" t="s">
        <v>1065</v>
      </c>
      <c r="D137" s="170" t="s">
        <v>1064</v>
      </c>
      <c r="E137" s="170" t="s">
        <v>576</v>
      </c>
      <c r="F137" s="170" t="s">
        <v>442</v>
      </c>
      <c r="G137" s="170" t="s">
        <v>1106</v>
      </c>
      <c r="H137" s="170" t="s">
        <v>39</v>
      </c>
      <c r="I137" s="394">
        <v>2994000</v>
      </c>
      <c r="J137" s="395">
        <v>104.291</v>
      </c>
      <c r="K137" s="395">
        <v>1</v>
      </c>
      <c r="L137" s="395">
        <v>1.0668169999999999</v>
      </c>
      <c r="M137" s="394">
        <v>3194050.41</v>
      </c>
      <c r="N137" s="390">
        <v>6.0787200000000001E-3</v>
      </c>
    </row>
    <row r="138" spans="1:14">
      <c r="A138" s="170" t="s">
        <v>692</v>
      </c>
      <c r="B138" s="170" t="s">
        <v>691</v>
      </c>
      <c r="C138" s="170" t="s">
        <v>1065</v>
      </c>
      <c r="D138" s="170" t="s">
        <v>642</v>
      </c>
      <c r="E138" s="170" t="s">
        <v>576</v>
      </c>
      <c r="F138" s="170" t="s">
        <v>424</v>
      </c>
      <c r="G138" s="170" t="s">
        <v>1105</v>
      </c>
      <c r="H138" s="170" t="s">
        <v>39</v>
      </c>
      <c r="I138" s="394">
        <v>3346000</v>
      </c>
      <c r="J138" s="395">
        <v>102.867</v>
      </c>
      <c r="K138" s="395">
        <v>1</v>
      </c>
      <c r="L138" s="395">
        <v>1.046503</v>
      </c>
      <c r="M138" s="394">
        <v>3501598.64</v>
      </c>
      <c r="N138" s="390">
        <v>6.6640299999999996E-3</v>
      </c>
    </row>
    <row r="139" spans="1:14">
      <c r="A139" s="170" t="s">
        <v>689</v>
      </c>
      <c r="B139" s="170" t="s">
        <v>688</v>
      </c>
      <c r="C139" s="170" t="s">
        <v>1065</v>
      </c>
      <c r="D139" s="170" t="s">
        <v>508</v>
      </c>
      <c r="E139" s="170" t="s">
        <v>576</v>
      </c>
      <c r="F139" s="170" t="s">
        <v>473</v>
      </c>
      <c r="G139" s="170" t="s">
        <v>1089</v>
      </c>
      <c r="H139" s="170" t="s">
        <v>39</v>
      </c>
      <c r="I139" s="394">
        <v>4368000</v>
      </c>
      <c r="J139" s="395">
        <v>102.09399999999999</v>
      </c>
      <c r="K139" s="395">
        <v>1</v>
      </c>
      <c r="L139" s="395">
        <v>1.0437730000000001</v>
      </c>
      <c r="M139" s="394">
        <v>4559201.92</v>
      </c>
      <c r="N139" s="390">
        <v>8.6768000000000001E-3</v>
      </c>
    </row>
    <row r="140" spans="1:14">
      <c r="A140" s="170" t="s">
        <v>687</v>
      </c>
      <c r="B140" s="170" t="s">
        <v>686</v>
      </c>
      <c r="C140" s="170" t="s">
        <v>1065</v>
      </c>
      <c r="D140" s="170" t="s">
        <v>642</v>
      </c>
      <c r="E140" s="170" t="s">
        <v>685</v>
      </c>
      <c r="F140" s="170" t="s">
        <v>403</v>
      </c>
      <c r="G140" s="170" t="s">
        <v>1079</v>
      </c>
      <c r="H140" s="170" t="s">
        <v>39</v>
      </c>
      <c r="I140" s="394">
        <v>2100000</v>
      </c>
      <c r="J140" s="395">
        <v>100.726</v>
      </c>
      <c r="K140" s="395">
        <v>1</v>
      </c>
      <c r="L140" s="395">
        <v>1.036759</v>
      </c>
      <c r="M140" s="394">
        <v>2177193.12</v>
      </c>
      <c r="N140" s="390">
        <v>4.1434999999999996E-3</v>
      </c>
    </row>
    <row r="141" spans="1:14">
      <c r="A141" s="170" t="s">
        <v>684</v>
      </c>
      <c r="B141" s="170" t="s">
        <v>683</v>
      </c>
      <c r="C141" s="170" t="s">
        <v>1065</v>
      </c>
      <c r="D141" s="170" t="s">
        <v>551</v>
      </c>
      <c r="E141" s="170" t="s">
        <v>576</v>
      </c>
      <c r="F141" s="170" t="s">
        <v>388</v>
      </c>
      <c r="G141" s="170" t="s">
        <v>1104</v>
      </c>
      <c r="H141" s="170" t="s">
        <v>39</v>
      </c>
      <c r="I141" s="394">
        <v>1280000</v>
      </c>
      <c r="J141" s="395">
        <v>103.232</v>
      </c>
      <c r="K141" s="395">
        <v>1</v>
      </c>
      <c r="L141" s="395">
        <v>1.0326329999999999</v>
      </c>
      <c r="M141" s="394">
        <v>1321769.6000000001</v>
      </c>
      <c r="N141" s="390">
        <v>2.5155099999999999E-3</v>
      </c>
    </row>
    <row r="142" spans="1:14">
      <c r="A142" s="170" t="s">
        <v>681</v>
      </c>
      <c r="B142" s="170" t="s">
        <v>680</v>
      </c>
      <c r="C142" s="170" t="s">
        <v>1065</v>
      </c>
      <c r="D142" s="170" t="s">
        <v>497</v>
      </c>
      <c r="E142" s="170" t="s">
        <v>499</v>
      </c>
      <c r="F142" s="170" t="s">
        <v>480</v>
      </c>
      <c r="G142" s="170" t="s">
        <v>1103</v>
      </c>
      <c r="H142" s="170" t="s">
        <v>39</v>
      </c>
      <c r="I142" s="394">
        <v>4200000</v>
      </c>
      <c r="J142" s="395">
        <v>101.565</v>
      </c>
      <c r="K142" s="395">
        <v>1</v>
      </c>
      <c r="L142" s="395">
        <v>1.032594</v>
      </c>
      <c r="M142" s="394">
        <v>4336896.67</v>
      </c>
      <c r="N142" s="390">
        <v>8.2537200000000008E-3</v>
      </c>
    </row>
    <row r="143" spans="1:14">
      <c r="A143" s="170" t="s">
        <v>678</v>
      </c>
      <c r="B143" s="170" t="s">
        <v>677</v>
      </c>
      <c r="C143" s="170" t="s">
        <v>1065</v>
      </c>
      <c r="D143" s="170" t="s">
        <v>544</v>
      </c>
      <c r="E143" s="170" t="s">
        <v>514</v>
      </c>
      <c r="F143" s="170" t="s">
        <v>466</v>
      </c>
      <c r="G143" s="170" t="s">
        <v>1102</v>
      </c>
      <c r="H143" s="170" t="s">
        <v>39</v>
      </c>
      <c r="I143" s="394">
        <v>4035000</v>
      </c>
      <c r="J143" s="395">
        <v>104.339</v>
      </c>
      <c r="K143" s="395">
        <v>1</v>
      </c>
      <c r="L143" s="395">
        <v>1.046046</v>
      </c>
      <c r="M143" s="394">
        <v>4220796.62</v>
      </c>
      <c r="N143" s="390">
        <v>8.0327599999999999E-3</v>
      </c>
    </row>
    <row r="144" spans="1:14">
      <c r="A144" s="170" t="s">
        <v>501</v>
      </c>
      <c r="B144" s="170" t="s">
        <v>500</v>
      </c>
      <c r="C144" s="170" t="s">
        <v>1065</v>
      </c>
      <c r="D144" s="170" t="s">
        <v>497</v>
      </c>
      <c r="E144" s="170" t="s">
        <v>499</v>
      </c>
      <c r="F144" s="170" t="s">
        <v>381</v>
      </c>
      <c r="G144" s="170" t="s">
        <v>1101</v>
      </c>
      <c r="H144" s="170" t="s">
        <v>39</v>
      </c>
      <c r="I144" s="394">
        <v>2337000</v>
      </c>
      <c r="J144" s="395">
        <v>100.68</v>
      </c>
      <c r="K144" s="395">
        <v>1</v>
      </c>
      <c r="L144" s="395">
        <v>1.0177240000000001</v>
      </c>
      <c r="M144" s="394">
        <v>2378420.6</v>
      </c>
      <c r="N144" s="390">
        <v>4.5264700000000003E-3</v>
      </c>
    </row>
    <row r="145" spans="1:14">
      <c r="A145" s="170" t="s">
        <v>675</v>
      </c>
      <c r="B145" s="170" t="s">
        <v>674</v>
      </c>
      <c r="C145" s="170" t="s">
        <v>1065</v>
      </c>
      <c r="D145" s="170" t="s">
        <v>622</v>
      </c>
      <c r="E145" s="170" t="s">
        <v>571</v>
      </c>
      <c r="F145" s="170" t="s">
        <v>390</v>
      </c>
      <c r="G145" s="170" t="s">
        <v>1096</v>
      </c>
      <c r="H145" s="170" t="s">
        <v>39</v>
      </c>
      <c r="I145" s="394">
        <v>1667000</v>
      </c>
      <c r="J145" s="395">
        <v>104.71299999999999</v>
      </c>
      <c r="K145" s="395">
        <v>1</v>
      </c>
      <c r="L145" s="395">
        <v>1.064592</v>
      </c>
      <c r="M145" s="394">
        <v>1774674.54</v>
      </c>
      <c r="N145" s="390">
        <v>3.3774500000000002E-3</v>
      </c>
    </row>
    <row r="146" spans="1:14">
      <c r="A146" s="170" t="s">
        <v>673</v>
      </c>
      <c r="B146" s="170" t="s">
        <v>672</v>
      </c>
      <c r="C146" s="170" t="s">
        <v>1065</v>
      </c>
      <c r="D146" s="170" t="s">
        <v>588</v>
      </c>
      <c r="E146" s="170" t="s">
        <v>287</v>
      </c>
      <c r="F146" s="170" t="s">
        <v>423</v>
      </c>
      <c r="G146" s="170" t="s">
        <v>1085</v>
      </c>
      <c r="H146" s="170" t="s">
        <v>39</v>
      </c>
      <c r="I146" s="394">
        <v>3078000</v>
      </c>
      <c r="J146" s="395">
        <v>102.738</v>
      </c>
      <c r="K146" s="395">
        <v>1</v>
      </c>
      <c r="L146" s="395">
        <v>1.04514</v>
      </c>
      <c r="M146" s="394">
        <v>3216942.2</v>
      </c>
      <c r="N146" s="390">
        <v>6.1222899999999999E-3</v>
      </c>
    </row>
    <row r="147" spans="1:14">
      <c r="A147" s="170" t="s">
        <v>671</v>
      </c>
      <c r="B147" s="170" t="s">
        <v>670</v>
      </c>
      <c r="C147" s="170" t="s">
        <v>1065</v>
      </c>
      <c r="D147" s="170" t="s">
        <v>669</v>
      </c>
      <c r="E147" s="170" t="s">
        <v>685</v>
      </c>
      <c r="F147" s="170" t="s">
        <v>487</v>
      </c>
      <c r="G147" s="170" t="s">
        <v>1079</v>
      </c>
      <c r="H147" s="170" t="s">
        <v>39</v>
      </c>
      <c r="I147" s="394">
        <v>2500000</v>
      </c>
      <c r="J147" s="395">
        <v>103.00700000000001</v>
      </c>
      <c r="K147" s="395">
        <v>1</v>
      </c>
      <c r="L147" s="395">
        <v>1.0549120000000001</v>
      </c>
      <c r="M147" s="394">
        <v>2637281.16</v>
      </c>
      <c r="N147" s="390">
        <v>5.0191100000000002E-3</v>
      </c>
    </row>
    <row r="148" spans="1:14">
      <c r="A148" s="170" t="s">
        <v>668</v>
      </c>
      <c r="B148" s="170" t="s">
        <v>667</v>
      </c>
      <c r="C148" s="170" t="s">
        <v>1065</v>
      </c>
      <c r="D148" s="170" t="s">
        <v>1064</v>
      </c>
      <c r="E148" s="170" t="s">
        <v>547</v>
      </c>
      <c r="F148" s="170" t="s">
        <v>467</v>
      </c>
      <c r="G148" s="170" t="s">
        <v>1100</v>
      </c>
      <c r="H148" s="170" t="s">
        <v>39</v>
      </c>
      <c r="I148" s="394">
        <v>1368000</v>
      </c>
      <c r="J148" s="395">
        <v>104.97</v>
      </c>
      <c r="K148" s="395">
        <v>1</v>
      </c>
      <c r="L148" s="395">
        <v>0.56639899999999999</v>
      </c>
      <c r="M148" s="394">
        <v>774834.18</v>
      </c>
      <c r="N148" s="390">
        <v>1.4746200000000001E-3</v>
      </c>
    </row>
    <row r="149" spans="1:14">
      <c r="A149" s="170" t="s">
        <v>665</v>
      </c>
      <c r="B149" s="170" t="s">
        <v>664</v>
      </c>
      <c r="C149" s="170" t="s">
        <v>1065</v>
      </c>
      <c r="D149" s="170" t="s">
        <v>551</v>
      </c>
      <c r="E149" s="170" t="s">
        <v>571</v>
      </c>
      <c r="F149" s="170" t="s">
        <v>419</v>
      </c>
      <c r="G149" s="170" t="s">
        <v>1099</v>
      </c>
      <c r="H149" s="170" t="s">
        <v>39</v>
      </c>
      <c r="I149" s="394">
        <v>3090000</v>
      </c>
      <c r="J149" s="395">
        <v>105.289</v>
      </c>
      <c r="K149" s="395">
        <v>1</v>
      </c>
      <c r="L149" s="395">
        <v>1.076838</v>
      </c>
      <c r="M149" s="394">
        <v>3327429.16</v>
      </c>
      <c r="N149" s="390">
        <v>6.3325600000000001E-3</v>
      </c>
    </row>
    <row r="150" spans="1:14">
      <c r="A150" s="170" t="s">
        <v>662</v>
      </c>
      <c r="B150" s="170" t="s">
        <v>661</v>
      </c>
      <c r="C150" s="170" t="s">
        <v>1065</v>
      </c>
      <c r="D150" s="170" t="s">
        <v>1064</v>
      </c>
      <c r="E150" s="170" t="s">
        <v>547</v>
      </c>
      <c r="F150" s="170" t="s">
        <v>362</v>
      </c>
      <c r="G150" s="170" t="s">
        <v>1098</v>
      </c>
      <c r="H150" s="170" t="s">
        <v>39</v>
      </c>
      <c r="I150" s="394">
        <v>5509000</v>
      </c>
      <c r="J150" s="395">
        <v>76.766999999999996</v>
      </c>
      <c r="K150" s="395">
        <v>1</v>
      </c>
      <c r="L150" s="395">
        <v>0.77556000000000003</v>
      </c>
      <c r="M150" s="394">
        <v>4272562.3</v>
      </c>
      <c r="N150" s="390">
        <v>8.1312799999999994E-3</v>
      </c>
    </row>
    <row r="151" spans="1:14">
      <c r="A151" s="170" t="s">
        <v>659</v>
      </c>
      <c r="B151" s="170" t="s">
        <v>658</v>
      </c>
      <c r="C151" s="170" t="s">
        <v>1065</v>
      </c>
      <c r="D151" s="170" t="s">
        <v>513</v>
      </c>
      <c r="E151" s="170" t="s">
        <v>576</v>
      </c>
      <c r="F151" s="170" t="s">
        <v>446</v>
      </c>
      <c r="G151" s="170" t="s">
        <v>1097</v>
      </c>
      <c r="H151" s="170" t="s">
        <v>39</v>
      </c>
      <c r="I151" s="394">
        <v>1600000</v>
      </c>
      <c r="J151" s="395">
        <v>101.813</v>
      </c>
      <c r="K151" s="395">
        <v>1</v>
      </c>
      <c r="L151" s="395">
        <v>1.051212</v>
      </c>
      <c r="M151" s="394">
        <v>1681939.51</v>
      </c>
      <c r="N151" s="390">
        <v>3.20097E-3</v>
      </c>
    </row>
    <row r="152" spans="1:14">
      <c r="A152" s="170" t="s">
        <v>656</v>
      </c>
      <c r="B152" s="170" t="s">
        <v>655</v>
      </c>
      <c r="C152" s="170" t="s">
        <v>1065</v>
      </c>
      <c r="D152" s="170" t="s">
        <v>508</v>
      </c>
      <c r="E152" s="170" t="s">
        <v>287</v>
      </c>
      <c r="F152" s="170" t="s">
        <v>404</v>
      </c>
      <c r="G152" s="170" t="s">
        <v>1087</v>
      </c>
      <c r="H152" s="170" t="s">
        <v>39</v>
      </c>
      <c r="I152" s="394">
        <v>1378000</v>
      </c>
      <c r="J152" s="395">
        <v>101.352</v>
      </c>
      <c r="K152" s="395">
        <v>1</v>
      </c>
      <c r="L152" s="395">
        <v>1.0326979999999999</v>
      </c>
      <c r="M152" s="394">
        <v>1423057.96</v>
      </c>
      <c r="N152" s="390">
        <v>2.70828E-3</v>
      </c>
    </row>
    <row r="153" spans="1:14">
      <c r="A153" s="170" t="s">
        <v>654</v>
      </c>
      <c r="B153" s="170" t="s">
        <v>653</v>
      </c>
      <c r="C153" s="170" t="s">
        <v>1065</v>
      </c>
      <c r="D153" s="170" t="s">
        <v>588</v>
      </c>
      <c r="E153" s="170" t="s">
        <v>499</v>
      </c>
      <c r="F153" s="170" t="s">
        <v>432</v>
      </c>
      <c r="G153" s="170" t="s">
        <v>1096</v>
      </c>
      <c r="H153" s="170" t="s">
        <v>39</v>
      </c>
      <c r="I153" s="394">
        <v>833000</v>
      </c>
      <c r="J153" s="395">
        <v>108.229</v>
      </c>
      <c r="K153" s="395">
        <v>1</v>
      </c>
      <c r="L153" s="395">
        <v>1.1187069999999999</v>
      </c>
      <c r="M153" s="394">
        <v>931882.65</v>
      </c>
      <c r="N153" s="390">
        <v>1.7734999999999999E-3</v>
      </c>
    </row>
    <row r="154" spans="1:14">
      <c r="A154" s="170" t="s">
        <v>652</v>
      </c>
      <c r="B154" s="170" t="s">
        <v>651</v>
      </c>
      <c r="C154" s="170" t="s">
        <v>1065</v>
      </c>
      <c r="D154" s="170" t="s">
        <v>650</v>
      </c>
      <c r="E154" s="170" t="s">
        <v>293</v>
      </c>
      <c r="F154" s="170" t="s">
        <v>354</v>
      </c>
      <c r="G154" s="170" t="s">
        <v>1096</v>
      </c>
      <c r="H154" s="170" t="s">
        <v>39</v>
      </c>
      <c r="I154" s="394">
        <v>2465000</v>
      </c>
      <c r="J154" s="395">
        <v>99.494</v>
      </c>
      <c r="K154" s="395">
        <v>1</v>
      </c>
      <c r="L154" s="395">
        <v>0.99771399999999999</v>
      </c>
      <c r="M154" s="394">
        <v>2459365.7599999998</v>
      </c>
      <c r="N154" s="390">
        <v>4.6805199999999996E-3</v>
      </c>
    </row>
    <row r="155" spans="1:14">
      <c r="A155" s="170" t="s">
        <v>648</v>
      </c>
      <c r="B155" s="170" t="s">
        <v>647</v>
      </c>
      <c r="C155" s="170" t="s">
        <v>1065</v>
      </c>
      <c r="D155" s="170" t="s">
        <v>575</v>
      </c>
      <c r="E155" s="170" t="s">
        <v>646</v>
      </c>
      <c r="F155" s="170" t="s">
        <v>387</v>
      </c>
      <c r="G155" s="170" t="s">
        <v>1095</v>
      </c>
      <c r="H155" s="170" t="s">
        <v>39</v>
      </c>
      <c r="I155" s="394">
        <v>1419000</v>
      </c>
      <c r="J155" s="395">
        <v>103.248</v>
      </c>
      <c r="K155" s="395">
        <v>1</v>
      </c>
      <c r="L155" s="395">
        <v>1.0392399999999999</v>
      </c>
      <c r="M155" s="394">
        <v>1474681.95</v>
      </c>
      <c r="N155" s="390">
        <v>2.8065299999999998E-3</v>
      </c>
    </row>
    <row r="156" spans="1:14">
      <c r="A156" s="170" t="s">
        <v>644</v>
      </c>
      <c r="B156" s="170" t="s">
        <v>643</v>
      </c>
      <c r="C156" s="170" t="s">
        <v>1065</v>
      </c>
      <c r="D156" s="170" t="s">
        <v>642</v>
      </c>
      <c r="E156" s="170" t="s">
        <v>532</v>
      </c>
      <c r="F156" s="170" t="s">
        <v>369</v>
      </c>
      <c r="G156" s="170" t="s">
        <v>1094</v>
      </c>
      <c r="H156" s="170" t="s">
        <v>39</v>
      </c>
      <c r="I156" s="394">
        <v>4184000</v>
      </c>
      <c r="J156" s="395">
        <v>99.956999999999994</v>
      </c>
      <c r="K156" s="395">
        <v>1</v>
      </c>
      <c r="L156" s="395">
        <v>1.012702</v>
      </c>
      <c r="M156" s="394">
        <v>4237144.9400000004</v>
      </c>
      <c r="N156" s="390">
        <v>8.0638800000000007E-3</v>
      </c>
    </row>
    <row r="157" spans="1:14">
      <c r="A157" s="170" t="s">
        <v>640</v>
      </c>
      <c r="B157" s="170" t="s">
        <v>639</v>
      </c>
      <c r="C157" s="170" t="s">
        <v>1065</v>
      </c>
      <c r="D157" s="170" t="s">
        <v>508</v>
      </c>
      <c r="E157" s="170" t="s">
        <v>499</v>
      </c>
      <c r="F157" s="170" t="s">
        <v>366</v>
      </c>
      <c r="G157" s="170" t="s">
        <v>1093</v>
      </c>
      <c r="H157" s="170" t="s">
        <v>39</v>
      </c>
      <c r="I157" s="394">
        <v>1817000</v>
      </c>
      <c r="J157" s="395">
        <v>99.911000000000001</v>
      </c>
      <c r="K157" s="395">
        <v>1</v>
      </c>
      <c r="L157" s="395">
        <v>1.04711</v>
      </c>
      <c r="M157" s="394">
        <v>1902598.87</v>
      </c>
      <c r="N157" s="390">
        <v>3.6209100000000002E-3</v>
      </c>
    </row>
    <row r="158" spans="1:14">
      <c r="A158" s="170" t="s">
        <v>637</v>
      </c>
      <c r="B158" s="170" t="s">
        <v>636</v>
      </c>
      <c r="C158" s="170" t="s">
        <v>1065</v>
      </c>
      <c r="D158" s="170" t="s">
        <v>634</v>
      </c>
      <c r="E158" s="170" t="s">
        <v>1092</v>
      </c>
      <c r="F158" s="170" t="s">
        <v>361</v>
      </c>
      <c r="G158" s="170" t="s">
        <v>1091</v>
      </c>
      <c r="H158" s="170" t="s">
        <v>39</v>
      </c>
      <c r="I158" s="394">
        <v>1878000</v>
      </c>
      <c r="J158" s="395">
        <v>98.003</v>
      </c>
      <c r="K158" s="395">
        <v>1</v>
      </c>
      <c r="L158" s="395">
        <v>1.000405</v>
      </c>
      <c r="M158" s="394">
        <v>1878760.59</v>
      </c>
      <c r="N158" s="390">
        <v>3.5755399999999999E-3</v>
      </c>
    </row>
    <row r="159" spans="1:14">
      <c r="A159" s="170" t="s">
        <v>633</v>
      </c>
      <c r="B159" s="170" t="s">
        <v>632</v>
      </c>
      <c r="C159" s="170" t="s">
        <v>1065</v>
      </c>
      <c r="D159" s="170" t="s">
        <v>612</v>
      </c>
      <c r="E159" s="170" t="s">
        <v>287</v>
      </c>
      <c r="F159" s="170" t="s">
        <v>356</v>
      </c>
      <c r="G159" s="170" t="s">
        <v>1091</v>
      </c>
      <c r="H159" s="170" t="s">
        <v>39</v>
      </c>
      <c r="I159" s="394">
        <v>1732000</v>
      </c>
      <c r="J159" s="395">
        <v>103.102</v>
      </c>
      <c r="K159" s="395">
        <v>1</v>
      </c>
      <c r="L159" s="395">
        <v>1.040645</v>
      </c>
      <c r="M159" s="394">
        <v>1802397.14</v>
      </c>
      <c r="N159" s="390">
        <v>3.4302099999999999E-3</v>
      </c>
    </row>
    <row r="160" spans="1:14">
      <c r="A160" s="170" t="s">
        <v>630</v>
      </c>
      <c r="B160" s="170" t="s">
        <v>629</v>
      </c>
      <c r="C160" s="170" t="s">
        <v>1065</v>
      </c>
      <c r="D160" s="170" t="s">
        <v>513</v>
      </c>
      <c r="E160" s="170" t="s">
        <v>293</v>
      </c>
      <c r="F160" s="170" t="s">
        <v>472</v>
      </c>
      <c r="G160" s="170" t="s">
        <v>1090</v>
      </c>
      <c r="H160" s="170" t="s">
        <v>39</v>
      </c>
      <c r="I160" s="394">
        <v>3268000</v>
      </c>
      <c r="J160" s="395">
        <v>100.55200000000001</v>
      </c>
      <c r="K160" s="395">
        <v>1</v>
      </c>
      <c r="L160" s="395">
        <v>1.0253289999999999</v>
      </c>
      <c r="M160" s="394">
        <v>3350775.26</v>
      </c>
      <c r="N160" s="390">
        <v>6.3769899999999999E-3</v>
      </c>
    </row>
    <row r="161" spans="1:14">
      <c r="A161" s="170" t="s">
        <v>627</v>
      </c>
      <c r="B161" s="170" t="s">
        <v>626</v>
      </c>
      <c r="C161" s="170" t="s">
        <v>1065</v>
      </c>
      <c r="D161" s="170" t="s">
        <v>612</v>
      </c>
      <c r="E161" s="170" t="s">
        <v>532</v>
      </c>
      <c r="F161" s="170" t="s">
        <v>456</v>
      </c>
      <c r="G161" s="170" t="s">
        <v>1089</v>
      </c>
      <c r="H161" s="170" t="s">
        <v>39</v>
      </c>
      <c r="I161" s="394">
        <v>1594000</v>
      </c>
      <c r="J161" s="395">
        <v>99.549000000000007</v>
      </c>
      <c r="K161" s="395">
        <v>1</v>
      </c>
      <c r="L161" s="395">
        <v>1.0190109999999999</v>
      </c>
      <c r="M161" s="394">
        <v>1624303.99</v>
      </c>
      <c r="N161" s="390">
        <v>3.0912800000000001E-3</v>
      </c>
    </row>
    <row r="162" spans="1:14">
      <c r="A162" s="170" t="s">
        <v>624</v>
      </c>
      <c r="B162" s="170" t="s">
        <v>623</v>
      </c>
      <c r="C162" s="170" t="s">
        <v>1065</v>
      </c>
      <c r="D162" s="170" t="s">
        <v>622</v>
      </c>
      <c r="E162" s="170" t="s">
        <v>576</v>
      </c>
      <c r="F162" s="170" t="s">
        <v>478</v>
      </c>
      <c r="G162" s="170" t="s">
        <v>1088</v>
      </c>
      <c r="H162" s="170" t="s">
        <v>39</v>
      </c>
      <c r="I162" s="394">
        <v>3300000</v>
      </c>
      <c r="J162" s="395">
        <v>102.148</v>
      </c>
      <c r="K162" s="395">
        <v>1</v>
      </c>
      <c r="L162" s="395">
        <v>1.046494</v>
      </c>
      <c r="M162" s="394">
        <v>3453429.21</v>
      </c>
      <c r="N162" s="390">
        <v>6.5723600000000002E-3</v>
      </c>
    </row>
    <row r="163" spans="1:14">
      <c r="A163" s="170" t="s">
        <v>620</v>
      </c>
      <c r="B163" s="170" t="s">
        <v>619</v>
      </c>
      <c r="C163" s="170" t="s">
        <v>1065</v>
      </c>
      <c r="D163" s="170" t="s">
        <v>567</v>
      </c>
      <c r="E163" s="170" t="s">
        <v>600</v>
      </c>
      <c r="F163" s="170" t="s">
        <v>437</v>
      </c>
      <c r="G163" s="170" t="s">
        <v>1087</v>
      </c>
      <c r="H163" s="170" t="s">
        <v>39</v>
      </c>
      <c r="I163" s="394">
        <v>4209000</v>
      </c>
      <c r="J163" s="395">
        <v>101.88200000000001</v>
      </c>
      <c r="K163" s="395">
        <v>1</v>
      </c>
      <c r="L163" s="395">
        <v>1.034931</v>
      </c>
      <c r="M163" s="394">
        <v>4356025.05</v>
      </c>
      <c r="N163" s="390">
        <v>8.2901199999999998E-3</v>
      </c>
    </row>
    <row r="164" spans="1:14">
      <c r="A164" s="170" t="s">
        <v>617</v>
      </c>
      <c r="B164" s="170" t="s">
        <v>616</v>
      </c>
      <c r="C164" s="170" t="s">
        <v>1065</v>
      </c>
      <c r="D164" s="170" t="s">
        <v>1064</v>
      </c>
      <c r="E164" s="170" t="s">
        <v>287</v>
      </c>
      <c r="F164" s="170" t="s">
        <v>380</v>
      </c>
      <c r="G164" s="170" t="s">
        <v>1086</v>
      </c>
      <c r="H164" s="170" t="s">
        <v>39</v>
      </c>
      <c r="I164" s="394">
        <v>3903000</v>
      </c>
      <c r="J164" s="395">
        <v>103.66500000000001</v>
      </c>
      <c r="K164" s="395">
        <v>1</v>
      </c>
      <c r="L164" s="395">
        <v>1.057733</v>
      </c>
      <c r="M164" s="394">
        <v>4128333.2</v>
      </c>
      <c r="N164" s="390">
        <v>7.8567900000000006E-3</v>
      </c>
    </row>
    <row r="165" spans="1:14">
      <c r="A165" s="170" t="s">
        <v>614</v>
      </c>
      <c r="B165" s="170" t="s">
        <v>613</v>
      </c>
      <c r="C165" s="170" t="s">
        <v>1065</v>
      </c>
      <c r="D165" s="170" t="s">
        <v>612</v>
      </c>
      <c r="E165" s="170" t="s">
        <v>499</v>
      </c>
      <c r="F165" s="170" t="s">
        <v>406</v>
      </c>
      <c r="G165" s="170" t="s">
        <v>1085</v>
      </c>
      <c r="H165" s="170" t="s">
        <v>39</v>
      </c>
      <c r="I165" s="394">
        <v>3160000</v>
      </c>
      <c r="J165" s="395">
        <v>102.934</v>
      </c>
      <c r="K165" s="395">
        <v>1</v>
      </c>
      <c r="L165" s="395">
        <v>1.0521799999999999</v>
      </c>
      <c r="M165" s="394">
        <v>3324889.68</v>
      </c>
      <c r="N165" s="390">
        <v>6.3277300000000002E-3</v>
      </c>
    </row>
    <row r="166" spans="1:14">
      <c r="A166" s="170" t="s">
        <v>610</v>
      </c>
      <c r="B166" s="170" t="s">
        <v>609</v>
      </c>
      <c r="C166" s="170" t="s">
        <v>1065</v>
      </c>
      <c r="D166" s="170" t="s">
        <v>551</v>
      </c>
      <c r="E166" s="170" t="s">
        <v>293</v>
      </c>
      <c r="F166" s="170" t="s">
        <v>453</v>
      </c>
      <c r="G166" s="170" t="s">
        <v>1084</v>
      </c>
      <c r="H166" s="170" t="s">
        <v>39</v>
      </c>
      <c r="I166" s="394">
        <v>2472000</v>
      </c>
      <c r="J166" s="395">
        <v>101.857</v>
      </c>
      <c r="K166" s="395">
        <v>1</v>
      </c>
      <c r="L166" s="395">
        <v>1.04657</v>
      </c>
      <c r="M166" s="394">
        <v>2587121.04</v>
      </c>
      <c r="N166" s="390">
        <v>4.9236499999999999E-3</v>
      </c>
    </row>
    <row r="167" spans="1:14">
      <c r="A167" s="170" t="s">
        <v>607</v>
      </c>
      <c r="B167" s="170" t="s">
        <v>606</v>
      </c>
      <c r="C167" s="170" t="s">
        <v>1065</v>
      </c>
      <c r="D167" s="170" t="s">
        <v>513</v>
      </c>
      <c r="E167" s="170" t="s">
        <v>499</v>
      </c>
      <c r="F167" s="170" t="s">
        <v>398</v>
      </c>
      <c r="G167" s="170" t="s">
        <v>1083</v>
      </c>
      <c r="H167" s="170" t="s">
        <v>39</v>
      </c>
      <c r="I167" s="394">
        <v>2170000</v>
      </c>
      <c r="J167" s="395">
        <v>102.482</v>
      </c>
      <c r="K167" s="395">
        <v>1</v>
      </c>
      <c r="L167" s="395">
        <v>1.0395799999999999</v>
      </c>
      <c r="M167" s="394">
        <v>2255889.5</v>
      </c>
      <c r="N167" s="390">
        <v>4.2932700000000001E-3</v>
      </c>
    </row>
    <row r="168" spans="1:14">
      <c r="A168" s="170" t="s">
        <v>604</v>
      </c>
      <c r="B168" s="170" t="s">
        <v>603</v>
      </c>
      <c r="C168" s="170" t="s">
        <v>1065</v>
      </c>
      <c r="D168" s="170" t="s">
        <v>513</v>
      </c>
      <c r="E168" s="170" t="s">
        <v>293</v>
      </c>
      <c r="F168" s="170" t="s">
        <v>400</v>
      </c>
      <c r="G168" s="170" t="s">
        <v>1080</v>
      </c>
      <c r="H168" s="170" t="s">
        <v>39</v>
      </c>
      <c r="I168" s="394">
        <v>788235</v>
      </c>
      <c r="J168" s="395">
        <v>105.941</v>
      </c>
      <c r="K168" s="395">
        <v>1</v>
      </c>
      <c r="L168" s="395">
        <v>1.086112</v>
      </c>
      <c r="M168" s="394">
        <v>856111.54</v>
      </c>
      <c r="N168" s="390">
        <v>1.6293E-3</v>
      </c>
    </row>
    <row r="169" spans="1:14">
      <c r="A169" s="170" t="s">
        <v>602</v>
      </c>
      <c r="B169" s="170" t="s">
        <v>601</v>
      </c>
      <c r="C169" s="170" t="s">
        <v>1065</v>
      </c>
      <c r="D169" s="170" t="s">
        <v>513</v>
      </c>
      <c r="E169" s="170" t="s">
        <v>600</v>
      </c>
      <c r="F169" s="170" t="s">
        <v>426</v>
      </c>
      <c r="G169" s="170" t="s">
        <v>1082</v>
      </c>
      <c r="H169" s="170" t="s">
        <v>39</v>
      </c>
      <c r="I169" s="394">
        <v>2213000</v>
      </c>
      <c r="J169" s="395">
        <v>100.066</v>
      </c>
      <c r="K169" s="395">
        <v>1</v>
      </c>
      <c r="L169" s="395">
        <v>1.0104379999999999</v>
      </c>
      <c r="M169" s="394">
        <v>2236098.7999999998</v>
      </c>
      <c r="N169" s="390">
        <v>4.2556099999999999E-3</v>
      </c>
    </row>
    <row r="170" spans="1:14">
      <c r="A170" s="170" t="s">
        <v>598</v>
      </c>
      <c r="B170" s="170" t="s">
        <v>597</v>
      </c>
      <c r="C170" s="170" t="s">
        <v>1065</v>
      </c>
      <c r="D170" s="170" t="s">
        <v>588</v>
      </c>
      <c r="E170" s="170" t="s">
        <v>293</v>
      </c>
      <c r="F170" s="170" t="s">
        <v>484</v>
      </c>
      <c r="G170" s="170" t="s">
        <v>1081</v>
      </c>
      <c r="H170" s="170" t="s">
        <v>39</v>
      </c>
      <c r="I170" s="394">
        <v>2571000</v>
      </c>
      <c r="J170" s="395">
        <v>103.545</v>
      </c>
      <c r="K170" s="395">
        <v>1</v>
      </c>
      <c r="L170" s="395">
        <v>1.05053</v>
      </c>
      <c r="M170" s="394">
        <v>2700912.27</v>
      </c>
      <c r="N170" s="390">
        <v>5.1402100000000001E-3</v>
      </c>
    </row>
    <row r="171" spans="1:14">
      <c r="A171" s="170" t="s">
        <v>595</v>
      </c>
      <c r="B171" s="170" t="s">
        <v>594</v>
      </c>
      <c r="C171" s="170" t="s">
        <v>1065</v>
      </c>
      <c r="D171" s="170" t="s">
        <v>1064</v>
      </c>
      <c r="E171" s="170" t="s">
        <v>293</v>
      </c>
      <c r="F171" s="170" t="s">
        <v>447</v>
      </c>
      <c r="G171" s="170" t="s">
        <v>1080</v>
      </c>
      <c r="H171" s="170" t="s">
        <v>39</v>
      </c>
      <c r="I171" s="394">
        <v>1923000</v>
      </c>
      <c r="J171" s="395">
        <v>102.82899999999999</v>
      </c>
      <c r="K171" s="395">
        <v>1</v>
      </c>
      <c r="L171" s="395">
        <v>1.044637</v>
      </c>
      <c r="M171" s="394">
        <v>2008837.38</v>
      </c>
      <c r="N171" s="390">
        <v>3.8230999999999998E-3</v>
      </c>
    </row>
    <row r="172" spans="1:14">
      <c r="A172" s="170" t="s">
        <v>592</v>
      </c>
      <c r="B172" s="170" t="s">
        <v>591</v>
      </c>
      <c r="C172" s="170" t="s">
        <v>1065</v>
      </c>
      <c r="D172" s="170" t="s">
        <v>508</v>
      </c>
      <c r="E172" s="170" t="s">
        <v>685</v>
      </c>
      <c r="F172" s="170" t="s">
        <v>409</v>
      </c>
      <c r="G172" s="170" t="s">
        <v>1077</v>
      </c>
      <c r="H172" s="170" t="s">
        <v>39</v>
      </c>
      <c r="I172" s="394">
        <v>2046000</v>
      </c>
      <c r="J172" s="395">
        <v>101.86799999999999</v>
      </c>
      <c r="K172" s="395">
        <v>1</v>
      </c>
      <c r="L172" s="395">
        <v>1.03518</v>
      </c>
      <c r="M172" s="394">
        <v>2117978.2799999998</v>
      </c>
      <c r="N172" s="390">
        <v>4.0308100000000001E-3</v>
      </c>
    </row>
    <row r="173" spans="1:14">
      <c r="A173" s="170" t="s">
        <v>590</v>
      </c>
      <c r="B173" s="170" t="s">
        <v>589</v>
      </c>
      <c r="C173" s="170" t="s">
        <v>1065</v>
      </c>
      <c r="D173" s="170" t="s">
        <v>588</v>
      </c>
      <c r="E173" s="170" t="s">
        <v>499</v>
      </c>
      <c r="F173" s="170" t="s">
        <v>368</v>
      </c>
      <c r="G173" s="170" t="s">
        <v>1079</v>
      </c>
      <c r="H173" s="170" t="s">
        <v>39</v>
      </c>
      <c r="I173" s="394">
        <v>1360000</v>
      </c>
      <c r="J173" s="395">
        <v>103.871</v>
      </c>
      <c r="K173" s="395">
        <v>1</v>
      </c>
      <c r="L173" s="395">
        <v>1.0404359999999999</v>
      </c>
      <c r="M173" s="394">
        <v>1414993</v>
      </c>
      <c r="N173" s="390">
        <v>2.6929300000000001E-3</v>
      </c>
    </row>
    <row r="174" spans="1:14">
      <c r="A174" s="170" t="s">
        <v>585</v>
      </c>
      <c r="B174" s="170" t="s">
        <v>584</v>
      </c>
      <c r="C174" s="170" t="s">
        <v>1065</v>
      </c>
      <c r="D174" s="170" t="s">
        <v>551</v>
      </c>
      <c r="E174" s="170" t="s">
        <v>685</v>
      </c>
      <c r="F174" s="170" t="s">
        <v>347</v>
      </c>
      <c r="G174" s="170" t="s">
        <v>1078</v>
      </c>
      <c r="H174" s="170" t="s">
        <v>39</v>
      </c>
      <c r="I174" s="394">
        <v>1974000</v>
      </c>
      <c r="J174" s="395">
        <v>100.851</v>
      </c>
      <c r="K174" s="395">
        <v>1</v>
      </c>
      <c r="L174" s="395">
        <v>1.0192810000000001</v>
      </c>
      <c r="M174" s="394">
        <v>2012060.36</v>
      </c>
      <c r="N174" s="390">
        <v>3.8292299999999999E-3</v>
      </c>
    </row>
    <row r="175" spans="1:14">
      <c r="A175" s="170" t="s">
        <v>580</v>
      </c>
      <c r="B175" s="170" t="s">
        <v>579</v>
      </c>
      <c r="C175" s="170" t="s">
        <v>1065</v>
      </c>
      <c r="D175" s="170" t="s">
        <v>1064</v>
      </c>
      <c r="E175" s="170" t="s">
        <v>532</v>
      </c>
      <c r="F175" s="170" t="s">
        <v>451</v>
      </c>
      <c r="G175" s="170" t="s">
        <v>1077</v>
      </c>
      <c r="H175" s="170" t="s">
        <v>39</v>
      </c>
      <c r="I175" s="394">
        <v>1936000</v>
      </c>
      <c r="J175" s="395">
        <v>101.533</v>
      </c>
      <c r="K175" s="395">
        <v>1</v>
      </c>
      <c r="L175" s="395">
        <v>1.0250939999999999</v>
      </c>
      <c r="M175" s="394">
        <v>1984581.77</v>
      </c>
      <c r="N175" s="390">
        <v>3.7769399999999999E-3</v>
      </c>
    </row>
    <row r="176" spans="1:14">
      <c r="A176" s="170" t="s">
        <v>578</v>
      </c>
      <c r="B176" s="170" t="s">
        <v>577</v>
      </c>
      <c r="C176" s="170" t="s">
        <v>1065</v>
      </c>
      <c r="D176" s="170" t="s">
        <v>575</v>
      </c>
      <c r="E176" s="170" t="s">
        <v>685</v>
      </c>
      <c r="F176" s="170" t="s">
        <v>332</v>
      </c>
      <c r="G176" s="170" t="s">
        <v>1076</v>
      </c>
      <c r="H176" s="170" t="s">
        <v>39</v>
      </c>
      <c r="I176" s="394">
        <v>7900000</v>
      </c>
      <c r="J176" s="395">
        <v>102.366</v>
      </c>
      <c r="K176" s="395">
        <v>1</v>
      </c>
      <c r="L176" s="395">
        <v>1.0393859999999999</v>
      </c>
      <c r="M176" s="394">
        <v>8211149.6200000001</v>
      </c>
      <c r="N176" s="390">
        <v>1.5626959999999999E-2</v>
      </c>
    </row>
    <row r="177" spans="1:14">
      <c r="A177" s="170" t="s">
        <v>573</v>
      </c>
      <c r="B177" s="170" t="s">
        <v>572</v>
      </c>
      <c r="C177" s="170" t="s">
        <v>1065</v>
      </c>
      <c r="D177" s="170" t="s">
        <v>513</v>
      </c>
      <c r="E177" s="170" t="s">
        <v>571</v>
      </c>
      <c r="F177" s="170" t="s">
        <v>439</v>
      </c>
      <c r="G177" s="170" t="s">
        <v>1075</v>
      </c>
      <c r="H177" s="170" t="s">
        <v>39</v>
      </c>
      <c r="I177" s="394">
        <v>2026000</v>
      </c>
      <c r="J177" s="395">
        <v>101.614</v>
      </c>
      <c r="K177" s="395">
        <v>1</v>
      </c>
      <c r="L177" s="395">
        <v>1.024942</v>
      </c>
      <c r="M177" s="394">
        <v>2076532.66</v>
      </c>
      <c r="N177" s="390">
        <v>3.9519300000000002E-3</v>
      </c>
    </row>
    <row r="178" spans="1:14">
      <c r="A178" s="170" t="s">
        <v>569</v>
      </c>
      <c r="B178" s="170" t="s">
        <v>568</v>
      </c>
      <c r="C178" s="170" t="s">
        <v>1065</v>
      </c>
      <c r="D178" s="170" t="s">
        <v>567</v>
      </c>
      <c r="E178" s="170" t="s">
        <v>293</v>
      </c>
      <c r="F178" s="170" t="s">
        <v>358</v>
      </c>
      <c r="G178" s="170" t="s">
        <v>1074</v>
      </c>
      <c r="H178" s="170" t="s">
        <v>39</v>
      </c>
      <c r="I178" s="394">
        <v>1419000</v>
      </c>
      <c r="J178" s="395">
        <v>103.005</v>
      </c>
      <c r="K178" s="395">
        <v>1</v>
      </c>
      <c r="L178" s="395">
        <v>1.039399</v>
      </c>
      <c r="M178" s="394">
        <v>1474907.63</v>
      </c>
      <c r="N178" s="390">
        <v>2.8069499999999999E-3</v>
      </c>
    </row>
    <row r="179" spans="1:14">
      <c r="A179" s="170" t="s">
        <v>565</v>
      </c>
      <c r="B179" s="170" t="s">
        <v>564</v>
      </c>
      <c r="C179" s="170" t="s">
        <v>1065</v>
      </c>
      <c r="D179" s="170" t="s">
        <v>1064</v>
      </c>
      <c r="E179" s="170" t="s">
        <v>293</v>
      </c>
      <c r="F179" s="170" t="s">
        <v>395</v>
      </c>
      <c r="G179" s="170" t="s">
        <v>1073</v>
      </c>
      <c r="H179" s="170" t="s">
        <v>39</v>
      </c>
      <c r="I179" s="394">
        <v>920000</v>
      </c>
      <c r="J179" s="395">
        <v>101.73</v>
      </c>
      <c r="K179" s="395">
        <v>1</v>
      </c>
      <c r="L179" s="395">
        <v>1.0266189999999999</v>
      </c>
      <c r="M179" s="394">
        <v>944489.89</v>
      </c>
      <c r="N179" s="390">
        <v>1.7975000000000001E-3</v>
      </c>
    </row>
    <row r="180" spans="1:14">
      <c r="A180" s="170" t="s">
        <v>562</v>
      </c>
      <c r="B180" s="170" t="s">
        <v>561</v>
      </c>
      <c r="C180" s="170" t="s">
        <v>1065</v>
      </c>
      <c r="D180" s="170" t="s">
        <v>497</v>
      </c>
      <c r="E180" s="170" t="s">
        <v>499</v>
      </c>
      <c r="F180" s="170" t="s">
        <v>352</v>
      </c>
      <c r="G180" s="170" t="s">
        <v>1072</v>
      </c>
      <c r="H180" s="170" t="s">
        <v>39</v>
      </c>
      <c r="I180" s="394">
        <v>2284000</v>
      </c>
      <c r="J180" s="395">
        <v>101.458</v>
      </c>
      <c r="K180" s="395">
        <v>1</v>
      </c>
      <c r="L180" s="395">
        <v>1.022913</v>
      </c>
      <c r="M180" s="394">
        <v>2336334.0499999998</v>
      </c>
      <c r="N180" s="390">
        <v>4.4463699999999998E-3</v>
      </c>
    </row>
    <row r="181" spans="1:14">
      <c r="A181" s="170" t="s">
        <v>559</v>
      </c>
      <c r="B181" s="170" t="s">
        <v>558</v>
      </c>
      <c r="C181" s="170" t="s">
        <v>1065</v>
      </c>
      <c r="D181" s="170" t="s">
        <v>1064</v>
      </c>
      <c r="E181" s="170" t="s">
        <v>293</v>
      </c>
      <c r="F181" s="170" t="s">
        <v>483</v>
      </c>
      <c r="G181" s="170" t="s">
        <v>1071</v>
      </c>
      <c r="H181" s="170" t="s">
        <v>39</v>
      </c>
      <c r="I181" s="394">
        <v>900000</v>
      </c>
      <c r="J181" s="395">
        <v>102.203</v>
      </c>
      <c r="K181" s="395">
        <v>1</v>
      </c>
      <c r="L181" s="395">
        <v>1.02803</v>
      </c>
      <c r="M181" s="394">
        <v>925227</v>
      </c>
      <c r="N181" s="390">
        <v>1.7608400000000001E-3</v>
      </c>
    </row>
    <row r="182" spans="1:14">
      <c r="A182" s="170" t="s">
        <v>556</v>
      </c>
      <c r="B182" s="170" t="s">
        <v>555</v>
      </c>
      <c r="C182" s="170" t="s">
        <v>1065</v>
      </c>
      <c r="D182" s="170" t="s">
        <v>1064</v>
      </c>
      <c r="E182" s="170" t="s">
        <v>499</v>
      </c>
      <c r="F182" s="170" t="s">
        <v>427</v>
      </c>
      <c r="G182" s="170" t="s">
        <v>1070</v>
      </c>
      <c r="H182" s="170" t="s">
        <v>39</v>
      </c>
      <c r="I182" s="394">
        <v>2600000</v>
      </c>
      <c r="J182" s="395">
        <v>102.17400000000001</v>
      </c>
      <c r="K182" s="395">
        <v>1</v>
      </c>
      <c r="L182" s="395">
        <v>1.031148</v>
      </c>
      <c r="M182" s="394">
        <v>2680983.59</v>
      </c>
      <c r="N182" s="390">
        <v>5.1022899999999998E-3</v>
      </c>
    </row>
    <row r="183" spans="1:14">
      <c r="A183" s="170" t="s">
        <v>553</v>
      </c>
      <c r="B183" s="170" t="s">
        <v>552</v>
      </c>
      <c r="C183" s="170" t="s">
        <v>1065</v>
      </c>
      <c r="D183" s="170" t="s">
        <v>1064</v>
      </c>
      <c r="E183" s="170" t="s">
        <v>499</v>
      </c>
      <c r="F183" s="170" t="s">
        <v>445</v>
      </c>
      <c r="G183" s="170" t="s">
        <v>1069</v>
      </c>
      <c r="H183" s="170" t="s">
        <v>39</v>
      </c>
      <c r="I183" s="394">
        <v>1582000</v>
      </c>
      <c r="J183" s="395">
        <v>102.57899999999999</v>
      </c>
      <c r="K183" s="395">
        <v>1</v>
      </c>
      <c r="L183" s="395">
        <v>1.03329</v>
      </c>
      <c r="M183" s="394">
        <v>1634664.78</v>
      </c>
      <c r="N183" s="390">
        <v>3.1109900000000001E-3</v>
      </c>
    </row>
    <row r="184" spans="1:14">
      <c r="A184" s="170" t="s">
        <v>549</v>
      </c>
      <c r="B184" s="170" t="s">
        <v>548</v>
      </c>
      <c r="C184" s="170" t="s">
        <v>1065</v>
      </c>
      <c r="D184" s="170" t="s">
        <v>1064</v>
      </c>
      <c r="E184" s="170" t="s">
        <v>532</v>
      </c>
      <c r="F184" s="170" t="s">
        <v>462</v>
      </c>
      <c r="G184" s="170" t="s">
        <v>1068</v>
      </c>
      <c r="H184" s="170" t="s">
        <v>39</v>
      </c>
      <c r="I184" s="394">
        <v>2514000</v>
      </c>
      <c r="J184" s="395">
        <v>102.363</v>
      </c>
      <c r="K184" s="395">
        <v>1</v>
      </c>
      <c r="L184" s="395">
        <v>1.0306299999999999</v>
      </c>
      <c r="M184" s="394">
        <v>2591003.8199999998</v>
      </c>
      <c r="N184" s="390">
        <v>4.9310400000000002E-3</v>
      </c>
    </row>
    <row r="185" spans="1:14">
      <c r="A185" s="170" t="s">
        <v>546</v>
      </c>
      <c r="B185" s="170" t="s">
        <v>545</v>
      </c>
      <c r="C185" s="170" t="s">
        <v>1065</v>
      </c>
      <c r="D185" s="170" t="s">
        <v>544</v>
      </c>
      <c r="E185" s="170" t="s">
        <v>287</v>
      </c>
      <c r="F185" s="170" t="s">
        <v>376</v>
      </c>
      <c r="G185" s="170" t="s">
        <v>1068</v>
      </c>
      <c r="H185" s="170" t="s">
        <v>39</v>
      </c>
      <c r="I185" s="394">
        <v>3851000</v>
      </c>
      <c r="J185" s="395">
        <v>101.661</v>
      </c>
      <c r="K185" s="395">
        <v>1</v>
      </c>
      <c r="L185" s="395">
        <v>1.02311</v>
      </c>
      <c r="M185" s="394">
        <v>3939996.61</v>
      </c>
      <c r="N185" s="390">
        <v>7.4983599999999999E-3</v>
      </c>
    </row>
    <row r="186" spans="1:14">
      <c r="A186" s="170" t="s">
        <v>542</v>
      </c>
      <c r="B186" s="170" t="s">
        <v>541</v>
      </c>
      <c r="C186" s="170" t="s">
        <v>1065</v>
      </c>
      <c r="D186" s="170" t="s">
        <v>508</v>
      </c>
      <c r="E186" s="170" t="s">
        <v>532</v>
      </c>
      <c r="F186" s="170" t="s">
        <v>401</v>
      </c>
      <c r="G186" s="170" t="s">
        <v>1067</v>
      </c>
      <c r="H186" s="170" t="s">
        <v>39</v>
      </c>
      <c r="I186" s="394">
        <v>1319000</v>
      </c>
      <c r="J186" s="395">
        <v>101.46299999999999</v>
      </c>
      <c r="K186" s="395">
        <v>1</v>
      </c>
      <c r="L186" s="395">
        <v>1.018297</v>
      </c>
      <c r="M186" s="394">
        <v>1343133.3</v>
      </c>
      <c r="N186" s="390">
        <v>2.55617E-3</v>
      </c>
    </row>
    <row r="187" spans="1:14">
      <c r="A187" s="170" t="s">
        <v>539</v>
      </c>
      <c r="B187" s="170" t="s">
        <v>538</v>
      </c>
      <c r="C187" s="170" t="s">
        <v>1065</v>
      </c>
      <c r="D187" s="170" t="s">
        <v>513</v>
      </c>
      <c r="E187" s="170" t="s">
        <v>514</v>
      </c>
      <c r="F187" s="170" t="s">
        <v>481</v>
      </c>
      <c r="G187" s="170" t="s">
        <v>1066</v>
      </c>
      <c r="H187" s="170" t="s">
        <v>39</v>
      </c>
      <c r="I187" s="394">
        <v>5528000</v>
      </c>
      <c r="J187" s="395">
        <v>99.043999999999997</v>
      </c>
      <c r="K187" s="395">
        <v>1</v>
      </c>
      <c r="L187" s="395">
        <v>0.99364799999999998</v>
      </c>
      <c r="M187" s="394">
        <v>5492887.9900000002</v>
      </c>
      <c r="N187" s="390">
        <v>1.045373E-2</v>
      </c>
    </row>
    <row r="188" spans="1:14">
      <c r="A188" s="170" t="s">
        <v>534</v>
      </c>
      <c r="B188" s="170" t="s">
        <v>533</v>
      </c>
      <c r="C188" s="170" t="s">
        <v>1065</v>
      </c>
      <c r="D188" s="170" t="s">
        <v>1064</v>
      </c>
      <c r="E188" s="170" t="s">
        <v>532</v>
      </c>
      <c r="F188" s="170" t="s">
        <v>460</v>
      </c>
      <c r="G188" s="170" t="s">
        <v>1063</v>
      </c>
      <c r="H188" s="170" t="s">
        <v>39</v>
      </c>
      <c r="I188" s="394">
        <v>691000</v>
      </c>
      <c r="J188" s="395">
        <v>102.968</v>
      </c>
      <c r="K188" s="395">
        <v>1</v>
      </c>
      <c r="L188" s="395">
        <v>1.034308</v>
      </c>
      <c r="M188" s="394">
        <v>714707.15</v>
      </c>
      <c r="N188" s="390">
        <v>1.3601900000000001E-3</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outlinePr showOutlineSymbols="0"/>
  </sheetPr>
  <dimension ref="A1:N192"/>
  <sheetViews>
    <sheetView showGridLines="0" showOutlineSymbols="0" zoomScale="55" zoomScaleNormal="55" workbookViewId="0"/>
  </sheetViews>
  <sheetFormatPr baseColWidth="10" defaultRowHeight="15" outlineLevelRow="1"/>
  <cols>
    <col min="1" max="1" width="15.28515625" customWidth="1"/>
    <col min="2" max="2" width="55.140625" customWidth="1"/>
    <col min="3" max="3" width="15.7109375" customWidth="1"/>
    <col min="4" max="4" width="35.140625" customWidth="1"/>
    <col min="5" max="5" width="22.5703125" customWidth="1"/>
    <col min="6" max="6" width="56" customWidth="1"/>
    <col min="7" max="7" width="20" customWidth="1"/>
    <col min="8" max="8" width="15.42578125" customWidth="1"/>
    <col min="9" max="9" width="13.140625" customWidth="1"/>
    <col min="10" max="10" width="13.85546875" customWidth="1"/>
    <col min="11" max="11" width="11.7109375" customWidth="1"/>
    <col min="12" max="12" width="10.42578125" customWidth="1"/>
    <col min="13" max="13" width="27.5703125" customWidth="1"/>
    <col min="14" max="14" width="6.85546875" customWidth="1"/>
  </cols>
  <sheetData>
    <row r="1" spans="1:14" outlineLevel="1">
      <c r="A1" s="100" t="s">
        <v>1243</v>
      </c>
      <c r="B1" s="99"/>
      <c r="C1" s="99"/>
      <c r="D1" s="99"/>
      <c r="E1" s="99"/>
      <c r="F1" s="99"/>
      <c r="G1" s="99"/>
      <c r="H1" s="99"/>
      <c r="I1" s="99"/>
      <c r="J1" s="99"/>
      <c r="K1" s="99"/>
      <c r="L1" s="99"/>
      <c r="M1" s="99"/>
      <c r="N1" s="99"/>
    </row>
    <row r="2" spans="1:14">
      <c r="A2" s="136" t="s">
        <v>1224</v>
      </c>
      <c r="B2" s="136" t="s">
        <v>1223</v>
      </c>
      <c r="C2" s="136" t="s">
        <v>1222</v>
      </c>
      <c r="D2" s="136" t="s">
        <v>1221</v>
      </c>
      <c r="E2" s="136" t="s">
        <v>1220</v>
      </c>
      <c r="F2" s="136" t="s">
        <v>1219</v>
      </c>
      <c r="G2" s="136" t="s">
        <v>1218</v>
      </c>
      <c r="H2" s="136" t="s">
        <v>1217</v>
      </c>
      <c r="I2" s="136" t="s">
        <v>1216</v>
      </c>
      <c r="J2" s="136" t="s">
        <v>1215</v>
      </c>
      <c r="K2" s="136" t="s">
        <v>1214</v>
      </c>
      <c r="L2" s="136" t="s">
        <v>1213</v>
      </c>
      <c r="M2" s="136" t="s">
        <v>1212</v>
      </c>
      <c r="N2" s="136" t="s">
        <v>1211</v>
      </c>
    </row>
    <row r="3" spans="1:14">
      <c r="A3" s="170" t="s">
        <v>40</v>
      </c>
      <c r="B3" s="170" t="s">
        <v>1210</v>
      </c>
      <c r="C3" s="170" t="s">
        <v>40</v>
      </c>
      <c r="D3" s="170" t="s">
        <v>1199</v>
      </c>
      <c r="E3" s="170" t="s">
        <v>1198</v>
      </c>
      <c r="F3" s="170" t="s">
        <v>40</v>
      </c>
      <c r="G3" s="170" t="s">
        <v>40</v>
      </c>
      <c r="H3" s="170" t="s">
        <v>39</v>
      </c>
      <c r="I3" s="394">
        <v>9648514.2831430007</v>
      </c>
      <c r="J3" s="395">
        <v>1</v>
      </c>
      <c r="K3" s="395">
        <v>1</v>
      </c>
      <c r="L3" s="395">
        <v>1</v>
      </c>
      <c r="M3" s="394">
        <v>9648514.2831430007</v>
      </c>
      <c r="N3" s="390">
        <v>1.832727E-2</v>
      </c>
    </row>
    <row r="4" spans="1:14">
      <c r="A4" s="170" t="s">
        <v>1209</v>
      </c>
      <c r="B4" s="170" t="s">
        <v>1020</v>
      </c>
      <c r="C4" s="170" t="s">
        <v>1208</v>
      </c>
      <c r="D4" s="170" t="s">
        <v>1207</v>
      </c>
      <c r="E4" s="170" t="s">
        <v>1207</v>
      </c>
      <c r="F4" s="170" t="s">
        <v>1206</v>
      </c>
      <c r="G4" s="170" t="s">
        <v>1205</v>
      </c>
      <c r="H4" s="170" t="s">
        <v>39</v>
      </c>
      <c r="I4" s="394">
        <v>150</v>
      </c>
      <c r="J4" s="395">
        <v>129.69999999999999</v>
      </c>
      <c r="K4" s="395">
        <v>1</v>
      </c>
      <c r="L4" s="395">
        <v>-500</v>
      </c>
      <c r="M4" s="394">
        <v>-75000</v>
      </c>
      <c r="N4" s="390">
        <v>-1.4245999999999999E-4</v>
      </c>
    </row>
    <row r="5" spans="1:14">
      <c r="A5" s="170" t="s">
        <v>1017</v>
      </c>
      <c r="B5" s="170" t="s">
        <v>1016</v>
      </c>
      <c r="C5" s="170" t="s">
        <v>1065</v>
      </c>
      <c r="D5" s="170" t="s">
        <v>588</v>
      </c>
      <c r="E5" s="170" t="s">
        <v>525</v>
      </c>
      <c r="F5" s="170" t="s">
        <v>463</v>
      </c>
      <c r="G5" s="170" t="s">
        <v>1204</v>
      </c>
      <c r="H5" s="170" t="s">
        <v>39</v>
      </c>
      <c r="I5" s="394">
        <v>1738000</v>
      </c>
      <c r="J5" s="395">
        <v>103.28700000000001</v>
      </c>
      <c r="K5" s="395">
        <v>1</v>
      </c>
      <c r="L5" s="395">
        <v>1.0550710000000001</v>
      </c>
      <c r="M5" s="394">
        <v>1833714.07</v>
      </c>
      <c r="N5" s="390">
        <v>3.4831200000000001E-3</v>
      </c>
    </row>
    <row r="6" spans="1:14">
      <c r="A6" s="170" t="s">
        <v>527</v>
      </c>
      <c r="B6" s="170" t="s">
        <v>526</v>
      </c>
      <c r="C6" s="170" t="s">
        <v>1065</v>
      </c>
      <c r="D6" s="170" t="s">
        <v>524</v>
      </c>
      <c r="E6" s="170" t="s">
        <v>525</v>
      </c>
      <c r="F6" s="170" t="s">
        <v>394</v>
      </c>
      <c r="G6" s="170" t="s">
        <v>1203</v>
      </c>
      <c r="H6" s="170" t="s">
        <v>39</v>
      </c>
      <c r="I6" s="394">
        <v>2727000</v>
      </c>
      <c r="J6" s="395">
        <v>97.584000000000003</v>
      </c>
      <c r="K6" s="395">
        <v>1</v>
      </c>
      <c r="L6" s="395">
        <v>0.98123800000000005</v>
      </c>
      <c r="M6" s="394">
        <v>2675836.84</v>
      </c>
      <c r="N6" s="390">
        <v>5.0827299999999997E-3</v>
      </c>
    </row>
    <row r="7" spans="1:14">
      <c r="A7" s="170" t="s">
        <v>1014</v>
      </c>
      <c r="B7" s="170" t="s">
        <v>1013</v>
      </c>
      <c r="C7" s="170" t="s">
        <v>1065</v>
      </c>
      <c r="D7" s="170" t="s">
        <v>612</v>
      </c>
      <c r="E7" s="170" t="s">
        <v>576</v>
      </c>
      <c r="F7" s="170" t="s">
        <v>428</v>
      </c>
      <c r="G7" s="170" t="s">
        <v>1202</v>
      </c>
      <c r="H7" s="170" t="s">
        <v>39</v>
      </c>
      <c r="I7" s="394">
        <v>3200000</v>
      </c>
      <c r="J7" s="395">
        <v>97.51</v>
      </c>
      <c r="K7" s="395">
        <v>1</v>
      </c>
      <c r="L7" s="395">
        <v>0.98432900000000001</v>
      </c>
      <c r="M7" s="394">
        <v>3149854.25</v>
      </c>
      <c r="N7" s="390">
        <v>5.9831199999999998E-3</v>
      </c>
    </row>
    <row r="8" spans="1:14">
      <c r="A8" s="170" t="s">
        <v>1011</v>
      </c>
      <c r="B8" s="170" t="s">
        <v>1010</v>
      </c>
      <c r="C8" s="170" t="s">
        <v>1065</v>
      </c>
      <c r="D8" s="170" t="s">
        <v>575</v>
      </c>
      <c r="E8" s="170" t="s">
        <v>576</v>
      </c>
      <c r="F8" s="170" t="s">
        <v>360</v>
      </c>
      <c r="G8" s="170" t="s">
        <v>1201</v>
      </c>
      <c r="H8" s="170" t="s">
        <v>39</v>
      </c>
      <c r="I8" s="394">
        <v>3200000</v>
      </c>
      <c r="J8" s="395">
        <v>103.48699999999999</v>
      </c>
      <c r="K8" s="395">
        <v>1</v>
      </c>
      <c r="L8" s="395">
        <v>1.0532779999999999</v>
      </c>
      <c r="M8" s="394">
        <v>3370488.11</v>
      </c>
      <c r="N8" s="390">
        <v>6.4022100000000002E-3</v>
      </c>
    </row>
    <row r="9" spans="1:14">
      <c r="A9" s="170" t="s">
        <v>493</v>
      </c>
      <c r="B9" s="170" t="s">
        <v>492</v>
      </c>
      <c r="C9" s="170" t="s">
        <v>1200</v>
      </c>
      <c r="D9" s="170" t="s">
        <v>1199</v>
      </c>
      <c r="E9" s="170" t="s">
        <v>1198</v>
      </c>
      <c r="F9" s="170" t="s">
        <v>1197</v>
      </c>
      <c r="G9" s="170" t="s">
        <v>40</v>
      </c>
      <c r="H9" s="170" t="s">
        <v>39</v>
      </c>
      <c r="I9" s="394">
        <v>9863</v>
      </c>
      <c r="J9" s="395">
        <v>4721.95</v>
      </c>
      <c r="K9" s="395">
        <v>1</v>
      </c>
      <c r="L9" s="395">
        <v>4721.95</v>
      </c>
      <c r="M9" s="394">
        <v>46572592.850000001</v>
      </c>
      <c r="N9" s="390">
        <v>8.8464230000000005E-2</v>
      </c>
    </row>
    <row r="10" spans="1:14">
      <c r="A10" s="170" t="s">
        <v>1008</v>
      </c>
      <c r="B10" s="170" t="s">
        <v>984</v>
      </c>
      <c r="C10" s="170" t="s">
        <v>1065</v>
      </c>
      <c r="D10" s="170" t="s">
        <v>622</v>
      </c>
      <c r="E10" s="170" t="s">
        <v>287</v>
      </c>
      <c r="F10" s="170" t="s">
        <v>345</v>
      </c>
      <c r="G10" s="170" t="s">
        <v>1079</v>
      </c>
      <c r="H10" s="170" t="s">
        <v>39</v>
      </c>
      <c r="I10" s="394">
        <v>900000</v>
      </c>
      <c r="J10" s="395">
        <v>99.816999999999993</v>
      </c>
      <c r="K10" s="395">
        <v>1</v>
      </c>
      <c r="L10" s="395">
        <v>1.0061249999999999</v>
      </c>
      <c r="M10" s="394">
        <v>905512.93</v>
      </c>
      <c r="N10" s="390">
        <v>1.7200099999999999E-3</v>
      </c>
    </row>
    <row r="11" spans="1:14">
      <c r="A11" s="170" t="s">
        <v>1007</v>
      </c>
      <c r="B11" s="170" t="s">
        <v>1006</v>
      </c>
      <c r="C11" s="170" t="s">
        <v>1065</v>
      </c>
      <c r="D11" s="170" t="s">
        <v>612</v>
      </c>
      <c r="E11" s="170" t="s">
        <v>287</v>
      </c>
      <c r="F11" s="170" t="s">
        <v>470</v>
      </c>
      <c r="G11" s="170" t="s">
        <v>1079</v>
      </c>
      <c r="H11" s="170" t="s">
        <v>39</v>
      </c>
      <c r="I11" s="394">
        <v>1600000</v>
      </c>
      <c r="J11" s="395">
        <v>99.335999999999999</v>
      </c>
      <c r="K11" s="395">
        <v>1</v>
      </c>
      <c r="L11" s="395">
        <v>1.001374</v>
      </c>
      <c r="M11" s="394">
        <v>1602197.92</v>
      </c>
      <c r="N11" s="390">
        <v>3.0433600000000002E-3</v>
      </c>
    </row>
    <row r="12" spans="1:14">
      <c r="A12" s="170" t="s">
        <v>1005</v>
      </c>
      <c r="B12" s="170" t="s">
        <v>1004</v>
      </c>
      <c r="C12" s="170" t="s">
        <v>1065</v>
      </c>
      <c r="D12" s="170" t="s">
        <v>567</v>
      </c>
      <c r="E12" s="170" t="s">
        <v>287</v>
      </c>
      <c r="F12" s="170" t="s">
        <v>378</v>
      </c>
      <c r="G12" s="170" t="s">
        <v>1079</v>
      </c>
      <c r="H12" s="170" t="s">
        <v>39</v>
      </c>
      <c r="I12" s="394">
        <v>1300000</v>
      </c>
      <c r="J12" s="395">
        <v>95.293000000000006</v>
      </c>
      <c r="K12" s="395">
        <v>1</v>
      </c>
      <c r="L12" s="395">
        <v>0.966978</v>
      </c>
      <c r="M12" s="394">
        <v>1257071.33</v>
      </c>
      <c r="N12" s="390">
        <v>2.3877999999999998E-3</v>
      </c>
    </row>
    <row r="13" spans="1:14">
      <c r="A13" s="170" t="s">
        <v>1003</v>
      </c>
      <c r="B13" s="170" t="s">
        <v>1002</v>
      </c>
      <c r="C13" s="170" t="s">
        <v>1065</v>
      </c>
      <c r="D13" s="170" t="s">
        <v>544</v>
      </c>
      <c r="E13" s="170" t="s">
        <v>287</v>
      </c>
      <c r="F13" s="170" t="s">
        <v>1196</v>
      </c>
      <c r="G13" s="170" t="s">
        <v>1079</v>
      </c>
      <c r="H13" s="170" t="s">
        <v>39</v>
      </c>
      <c r="I13" s="394">
        <v>4200000</v>
      </c>
      <c r="J13" s="395">
        <v>96.527000000000001</v>
      </c>
      <c r="K13" s="395">
        <v>1</v>
      </c>
      <c r="L13" s="395">
        <v>0.97253000000000001</v>
      </c>
      <c r="M13" s="394">
        <v>4084627.15</v>
      </c>
      <c r="N13" s="390">
        <v>7.7587100000000003E-3</v>
      </c>
    </row>
    <row r="14" spans="1:14">
      <c r="A14" s="170" t="s">
        <v>1001</v>
      </c>
      <c r="B14" s="170" t="s">
        <v>1000</v>
      </c>
      <c r="C14" s="170" t="s">
        <v>1065</v>
      </c>
      <c r="D14" s="170" t="s">
        <v>622</v>
      </c>
      <c r="E14" s="170" t="s">
        <v>287</v>
      </c>
      <c r="F14" s="170" t="s">
        <v>477</v>
      </c>
      <c r="G14" s="170" t="s">
        <v>1195</v>
      </c>
      <c r="H14" s="170" t="s">
        <v>39</v>
      </c>
      <c r="I14" s="394">
        <v>2200000</v>
      </c>
      <c r="J14" s="395">
        <v>90.424999999999997</v>
      </c>
      <c r="K14" s="395">
        <v>1</v>
      </c>
      <c r="L14" s="395">
        <v>0.91383899999999996</v>
      </c>
      <c r="M14" s="394">
        <v>2010445.89</v>
      </c>
      <c r="N14" s="390">
        <v>3.8188200000000001E-3</v>
      </c>
    </row>
    <row r="15" spans="1:14">
      <c r="A15" s="170" t="s">
        <v>1242</v>
      </c>
      <c r="B15" s="170" t="s">
        <v>1241</v>
      </c>
      <c r="C15" s="170" t="s">
        <v>1065</v>
      </c>
      <c r="D15" s="170" t="s">
        <v>513</v>
      </c>
      <c r="E15" s="170" t="s">
        <v>287</v>
      </c>
      <c r="F15" s="170" t="s">
        <v>485</v>
      </c>
      <c r="G15" s="170" t="s">
        <v>1240</v>
      </c>
      <c r="H15" s="170" t="s">
        <v>39</v>
      </c>
      <c r="I15" s="394">
        <v>300000</v>
      </c>
      <c r="J15" s="395">
        <v>112.985</v>
      </c>
      <c r="K15" s="395">
        <v>1</v>
      </c>
      <c r="L15" s="395">
        <v>1.1443190000000001</v>
      </c>
      <c r="M15" s="394">
        <v>343295.75</v>
      </c>
      <c r="N15" s="390">
        <v>6.5209000000000003E-4</v>
      </c>
    </row>
    <row r="16" spans="1:14">
      <c r="A16" s="170" t="s">
        <v>998</v>
      </c>
      <c r="B16" s="170" t="s">
        <v>997</v>
      </c>
      <c r="C16" s="170" t="s">
        <v>1065</v>
      </c>
      <c r="D16" s="170" t="s">
        <v>567</v>
      </c>
      <c r="E16" s="170" t="s">
        <v>287</v>
      </c>
      <c r="F16" s="170" t="s">
        <v>412</v>
      </c>
      <c r="G16" s="170" t="s">
        <v>1096</v>
      </c>
      <c r="H16" s="170" t="s">
        <v>39</v>
      </c>
      <c r="I16" s="394">
        <v>2300000</v>
      </c>
      <c r="J16" s="395">
        <v>108.146</v>
      </c>
      <c r="K16" s="395">
        <v>1</v>
      </c>
      <c r="L16" s="395">
        <v>1.1076589999999999</v>
      </c>
      <c r="M16" s="394">
        <v>2547614.85</v>
      </c>
      <c r="N16" s="390">
        <v>4.8391700000000003E-3</v>
      </c>
    </row>
    <row r="17" spans="1:14">
      <c r="A17" s="170" t="s">
        <v>1239</v>
      </c>
      <c r="B17" s="170" t="s">
        <v>1238</v>
      </c>
      <c r="C17" s="170" t="s">
        <v>1065</v>
      </c>
      <c r="D17" s="170" t="s">
        <v>513</v>
      </c>
      <c r="E17" s="170" t="s">
        <v>287</v>
      </c>
      <c r="F17" s="170" t="s">
        <v>485</v>
      </c>
      <c r="G17" s="170" t="s">
        <v>1237</v>
      </c>
      <c r="H17" s="170" t="s">
        <v>39</v>
      </c>
      <c r="I17" s="394">
        <v>2000000</v>
      </c>
      <c r="J17" s="395">
        <v>103.95699999999999</v>
      </c>
      <c r="K17" s="395">
        <v>1</v>
      </c>
      <c r="L17" s="395">
        <v>1.0488200000000001</v>
      </c>
      <c r="M17" s="394">
        <v>2097640</v>
      </c>
      <c r="N17" s="390">
        <v>3.9844499999999996E-3</v>
      </c>
    </row>
    <row r="18" spans="1:14">
      <c r="A18" s="170" t="s">
        <v>996</v>
      </c>
      <c r="B18" s="170" t="s">
        <v>995</v>
      </c>
      <c r="C18" s="170" t="s">
        <v>1065</v>
      </c>
      <c r="D18" s="170" t="s">
        <v>588</v>
      </c>
      <c r="E18" s="170" t="s">
        <v>287</v>
      </c>
      <c r="F18" s="170" t="s">
        <v>479</v>
      </c>
      <c r="G18" s="170" t="s">
        <v>1079</v>
      </c>
      <c r="H18" s="170" t="s">
        <v>39</v>
      </c>
      <c r="I18" s="394">
        <v>2500000</v>
      </c>
      <c r="J18" s="395">
        <v>106.486</v>
      </c>
      <c r="K18" s="395">
        <v>1</v>
      </c>
      <c r="L18" s="395">
        <v>1.119521</v>
      </c>
      <c r="M18" s="394">
        <v>2798802.05</v>
      </c>
      <c r="N18" s="390">
        <v>5.3163000000000004E-3</v>
      </c>
    </row>
    <row r="19" spans="1:14">
      <c r="A19" s="170" t="s">
        <v>994</v>
      </c>
      <c r="B19" s="170" t="s">
        <v>993</v>
      </c>
      <c r="C19" s="170" t="s">
        <v>1065</v>
      </c>
      <c r="D19" s="170" t="s">
        <v>544</v>
      </c>
      <c r="E19" s="170" t="s">
        <v>287</v>
      </c>
      <c r="F19" s="170" t="s">
        <v>433</v>
      </c>
      <c r="G19" s="170" t="s">
        <v>1079</v>
      </c>
      <c r="H19" s="170" t="s">
        <v>39</v>
      </c>
      <c r="I19" s="394">
        <v>2000000</v>
      </c>
      <c r="J19" s="395">
        <v>106.416</v>
      </c>
      <c r="K19" s="395">
        <v>1</v>
      </c>
      <c r="L19" s="395">
        <v>1.071321</v>
      </c>
      <c r="M19" s="394">
        <v>2142641.92</v>
      </c>
      <c r="N19" s="390">
        <v>4.0699300000000002E-3</v>
      </c>
    </row>
    <row r="20" spans="1:14">
      <c r="A20" s="170" t="s">
        <v>992</v>
      </c>
      <c r="B20" s="170" t="s">
        <v>991</v>
      </c>
      <c r="C20" s="170" t="s">
        <v>1065</v>
      </c>
      <c r="D20" s="170" t="s">
        <v>567</v>
      </c>
      <c r="E20" s="170" t="s">
        <v>287</v>
      </c>
      <c r="F20" s="170" t="s">
        <v>412</v>
      </c>
      <c r="G20" s="170" t="s">
        <v>1100</v>
      </c>
      <c r="H20" s="170" t="s">
        <v>39</v>
      </c>
      <c r="I20" s="394">
        <v>800000</v>
      </c>
      <c r="J20" s="395">
        <v>102.099</v>
      </c>
      <c r="K20" s="395">
        <v>1</v>
      </c>
      <c r="L20" s="395">
        <v>1.053461</v>
      </c>
      <c r="M20" s="394">
        <v>842769.08</v>
      </c>
      <c r="N20" s="390">
        <v>1.6008299999999999E-3</v>
      </c>
    </row>
    <row r="21" spans="1:14">
      <c r="A21" s="170" t="s">
        <v>990</v>
      </c>
      <c r="B21" s="170" t="s">
        <v>989</v>
      </c>
      <c r="C21" s="170" t="s">
        <v>1065</v>
      </c>
      <c r="D21" s="170" t="s">
        <v>642</v>
      </c>
      <c r="E21" s="170" t="s">
        <v>287</v>
      </c>
      <c r="F21" s="170" t="s">
        <v>365</v>
      </c>
      <c r="G21" s="170" t="s">
        <v>1194</v>
      </c>
      <c r="H21" s="170" t="s">
        <v>39</v>
      </c>
      <c r="I21" s="394">
        <v>3900000</v>
      </c>
      <c r="J21" s="395">
        <v>102.217</v>
      </c>
      <c r="K21" s="395">
        <v>1</v>
      </c>
      <c r="L21" s="395">
        <v>1.0462530000000001</v>
      </c>
      <c r="M21" s="394">
        <v>4080387.82</v>
      </c>
      <c r="N21" s="390">
        <v>7.7506600000000004E-3</v>
      </c>
    </row>
    <row r="22" spans="1:14">
      <c r="A22" s="170" t="s">
        <v>988</v>
      </c>
      <c r="B22" s="170" t="s">
        <v>987</v>
      </c>
      <c r="C22" s="170" t="s">
        <v>1065</v>
      </c>
      <c r="D22" s="170" t="s">
        <v>575</v>
      </c>
      <c r="E22" s="170" t="s">
        <v>287</v>
      </c>
      <c r="F22" s="170" t="s">
        <v>344</v>
      </c>
      <c r="G22" s="170" t="s">
        <v>1193</v>
      </c>
      <c r="H22" s="170" t="s">
        <v>39</v>
      </c>
      <c r="I22" s="394">
        <v>1600000</v>
      </c>
      <c r="J22" s="395">
        <v>101.373</v>
      </c>
      <c r="K22" s="395">
        <v>1</v>
      </c>
      <c r="L22" s="395">
        <v>1.0244009999999999</v>
      </c>
      <c r="M22" s="394">
        <v>1639041.97</v>
      </c>
      <c r="N22" s="390">
        <v>3.11335E-3</v>
      </c>
    </row>
    <row r="23" spans="1:14">
      <c r="A23" s="170" t="s">
        <v>985</v>
      </c>
      <c r="B23" s="170" t="s">
        <v>984</v>
      </c>
      <c r="C23" s="170" t="s">
        <v>1065</v>
      </c>
      <c r="D23" s="170" t="s">
        <v>622</v>
      </c>
      <c r="E23" s="170" t="s">
        <v>287</v>
      </c>
      <c r="F23" s="170" t="s">
        <v>345</v>
      </c>
      <c r="G23" s="170" t="s">
        <v>1079</v>
      </c>
      <c r="H23" s="170" t="s">
        <v>39</v>
      </c>
      <c r="I23" s="394">
        <v>2900000</v>
      </c>
      <c r="J23" s="395">
        <v>101.696</v>
      </c>
      <c r="K23" s="395">
        <v>1</v>
      </c>
      <c r="L23" s="395">
        <v>1.033255</v>
      </c>
      <c r="M23" s="394">
        <v>2996438.11</v>
      </c>
      <c r="N23" s="390">
        <v>5.69171E-3</v>
      </c>
    </row>
    <row r="24" spans="1:14">
      <c r="A24" s="170" t="s">
        <v>983</v>
      </c>
      <c r="B24" s="170" t="s">
        <v>982</v>
      </c>
      <c r="C24" s="170" t="s">
        <v>1065</v>
      </c>
      <c r="D24" s="170" t="s">
        <v>669</v>
      </c>
      <c r="E24" s="170" t="s">
        <v>287</v>
      </c>
      <c r="F24" s="170" t="s">
        <v>355</v>
      </c>
      <c r="G24" s="170" t="s">
        <v>1192</v>
      </c>
      <c r="H24" s="170" t="s">
        <v>39</v>
      </c>
      <c r="I24" s="394">
        <v>5000000</v>
      </c>
      <c r="J24" s="395">
        <v>101.63500000000001</v>
      </c>
      <c r="K24" s="395">
        <v>1</v>
      </c>
      <c r="L24" s="395">
        <v>1.023336</v>
      </c>
      <c r="M24" s="394">
        <v>5116681.51</v>
      </c>
      <c r="N24" s="390">
        <v>9.7190899999999997E-3</v>
      </c>
    </row>
    <row r="25" spans="1:14">
      <c r="A25" s="170" t="s">
        <v>977</v>
      </c>
      <c r="B25" s="170" t="s">
        <v>976</v>
      </c>
      <c r="C25" s="170" t="s">
        <v>1065</v>
      </c>
      <c r="D25" s="170" t="s">
        <v>544</v>
      </c>
      <c r="E25" s="170" t="s">
        <v>298</v>
      </c>
      <c r="F25" s="170" t="s">
        <v>440</v>
      </c>
      <c r="G25" s="170" t="s">
        <v>1190</v>
      </c>
      <c r="H25" s="170" t="s">
        <v>39</v>
      </c>
      <c r="I25" s="394">
        <v>3100000</v>
      </c>
      <c r="J25" s="395">
        <v>102.855</v>
      </c>
      <c r="K25" s="395">
        <v>1</v>
      </c>
      <c r="L25" s="395">
        <v>1.046416</v>
      </c>
      <c r="M25" s="394">
        <v>3243890.96</v>
      </c>
      <c r="N25" s="390">
        <v>6.1617399999999998E-3</v>
      </c>
    </row>
    <row r="26" spans="1:14">
      <c r="A26" s="170" t="s">
        <v>974</v>
      </c>
      <c r="B26" s="170" t="s">
        <v>973</v>
      </c>
      <c r="C26" s="170" t="s">
        <v>1065</v>
      </c>
      <c r="D26" s="170" t="s">
        <v>544</v>
      </c>
      <c r="E26" s="170" t="s">
        <v>298</v>
      </c>
      <c r="F26" s="170" t="s">
        <v>440</v>
      </c>
      <c r="G26" s="170" t="s">
        <v>1189</v>
      </c>
      <c r="H26" s="170" t="s">
        <v>39</v>
      </c>
      <c r="I26" s="394">
        <v>4500000</v>
      </c>
      <c r="J26" s="395">
        <v>97.929000000000002</v>
      </c>
      <c r="K26" s="395">
        <v>1</v>
      </c>
      <c r="L26" s="395">
        <v>0.98516700000000001</v>
      </c>
      <c r="M26" s="394">
        <v>4433250.21</v>
      </c>
      <c r="N26" s="390">
        <v>8.4209200000000001E-3</v>
      </c>
    </row>
    <row r="27" spans="1:14">
      <c r="A27" s="170" t="s">
        <v>1025</v>
      </c>
      <c r="B27" s="170" t="s">
        <v>1024</v>
      </c>
      <c r="C27" s="170" t="s">
        <v>1188</v>
      </c>
      <c r="D27" s="170" t="s">
        <v>1188</v>
      </c>
      <c r="E27" s="170" t="s">
        <v>40</v>
      </c>
      <c r="F27" s="170" t="s">
        <v>1187</v>
      </c>
      <c r="G27" s="170" t="s">
        <v>1186</v>
      </c>
      <c r="H27" s="170" t="s">
        <v>39</v>
      </c>
      <c r="I27" s="394">
        <v>-73200000</v>
      </c>
      <c r="J27" s="395">
        <v>10.394422</v>
      </c>
      <c r="K27" s="395">
        <v>1</v>
      </c>
      <c r="L27" s="395">
        <v>0.10394399999999999</v>
      </c>
      <c r="M27" s="394">
        <v>-7608717.0700000003</v>
      </c>
      <c r="N27" s="390">
        <v>-1.4452690000000001E-2</v>
      </c>
    </row>
    <row r="28" spans="1:14">
      <c r="A28" s="170" t="s">
        <v>1034</v>
      </c>
      <c r="B28" s="170" t="s">
        <v>1033</v>
      </c>
      <c r="C28" s="170" t="s">
        <v>1183</v>
      </c>
      <c r="D28" s="170" t="s">
        <v>497</v>
      </c>
      <c r="E28" s="170" t="s">
        <v>287</v>
      </c>
      <c r="F28" s="170" t="s">
        <v>1185</v>
      </c>
      <c r="G28" s="170" t="s">
        <v>40</v>
      </c>
      <c r="H28" s="170" t="s">
        <v>39</v>
      </c>
      <c r="I28" s="394">
        <v>58200</v>
      </c>
      <c r="J28" s="395">
        <v>1E-3</v>
      </c>
      <c r="K28" s="395">
        <v>1</v>
      </c>
      <c r="L28" s="395">
        <v>1E-3</v>
      </c>
      <c r="M28" s="394">
        <v>58.2</v>
      </c>
      <c r="N28" s="390">
        <v>1.1000000000000001E-7</v>
      </c>
    </row>
    <row r="29" spans="1:14">
      <c r="A29" s="170" t="s">
        <v>1032</v>
      </c>
      <c r="B29" s="170" t="s">
        <v>1031</v>
      </c>
      <c r="C29" s="170" t="s">
        <v>1183</v>
      </c>
      <c r="D29" s="170" t="s">
        <v>544</v>
      </c>
      <c r="E29" s="170" t="s">
        <v>532</v>
      </c>
      <c r="F29" s="170" t="s">
        <v>1184</v>
      </c>
      <c r="G29" s="170" t="s">
        <v>40</v>
      </c>
      <c r="H29" s="170" t="s">
        <v>319</v>
      </c>
      <c r="I29" s="394">
        <v>4000</v>
      </c>
      <c r="J29" s="395">
        <v>1E-3</v>
      </c>
      <c r="K29" s="395">
        <v>1.14455</v>
      </c>
      <c r="L29" s="395">
        <v>8.7299999999999997E-4</v>
      </c>
      <c r="M29" s="394">
        <v>3.49</v>
      </c>
      <c r="N29" s="390">
        <v>1E-8</v>
      </c>
    </row>
    <row r="30" spans="1:14">
      <c r="A30" s="170" t="s">
        <v>1028</v>
      </c>
      <c r="B30" s="170" t="s">
        <v>1027</v>
      </c>
      <c r="C30" s="170" t="s">
        <v>1183</v>
      </c>
      <c r="D30" s="170" t="s">
        <v>544</v>
      </c>
      <c r="E30" s="170" t="s">
        <v>532</v>
      </c>
      <c r="F30" s="170" t="s">
        <v>1182</v>
      </c>
      <c r="G30" s="170" t="s">
        <v>40</v>
      </c>
      <c r="H30" s="170" t="s">
        <v>319</v>
      </c>
      <c r="I30" s="394">
        <v>125000</v>
      </c>
      <c r="J30" s="395">
        <v>1E-3</v>
      </c>
      <c r="K30" s="395">
        <v>1.14455</v>
      </c>
      <c r="L30" s="395">
        <v>8.7399999999999999E-4</v>
      </c>
      <c r="M30" s="394">
        <v>109.21</v>
      </c>
      <c r="N30" s="390">
        <v>2.1E-7</v>
      </c>
    </row>
    <row r="31" spans="1:14">
      <c r="A31" s="170" t="s">
        <v>971</v>
      </c>
      <c r="B31" s="170" t="s">
        <v>970</v>
      </c>
      <c r="C31" s="170" t="s">
        <v>1065</v>
      </c>
      <c r="D31" s="170" t="s">
        <v>567</v>
      </c>
      <c r="E31" s="170" t="s">
        <v>532</v>
      </c>
      <c r="F31" s="170" t="s">
        <v>375</v>
      </c>
      <c r="G31" s="170" t="s">
        <v>1181</v>
      </c>
      <c r="H31" s="170" t="s">
        <v>319</v>
      </c>
      <c r="I31" s="394">
        <v>1250000</v>
      </c>
      <c r="J31" s="395">
        <v>1E-3</v>
      </c>
      <c r="K31" s="395">
        <v>1.14455</v>
      </c>
      <c r="L31" s="395">
        <v>9.0000000000000002E-6</v>
      </c>
      <c r="M31" s="394">
        <v>10.92</v>
      </c>
      <c r="N31" s="390">
        <v>2E-8</v>
      </c>
    </row>
    <row r="32" spans="1:14">
      <c r="A32" s="170" t="s">
        <v>968</v>
      </c>
      <c r="B32" s="170" t="s">
        <v>967</v>
      </c>
      <c r="C32" s="170" t="s">
        <v>1065</v>
      </c>
      <c r="D32" s="170" t="s">
        <v>551</v>
      </c>
      <c r="E32" s="170" t="s">
        <v>293</v>
      </c>
      <c r="F32" s="170" t="s">
        <v>430</v>
      </c>
      <c r="G32" s="170" t="s">
        <v>1079</v>
      </c>
      <c r="H32" s="170" t="s">
        <v>39</v>
      </c>
      <c r="I32" s="394">
        <v>4040000</v>
      </c>
      <c r="J32" s="395">
        <v>99.792000000000002</v>
      </c>
      <c r="K32" s="395">
        <v>1</v>
      </c>
      <c r="L32" s="395">
        <v>1.0214270000000001</v>
      </c>
      <c r="M32" s="394">
        <v>4126564.47</v>
      </c>
      <c r="N32" s="390">
        <v>7.8383700000000008E-3</v>
      </c>
    </row>
    <row r="33" spans="1:14">
      <c r="A33" s="170" t="s">
        <v>966</v>
      </c>
      <c r="B33" s="170" t="s">
        <v>965</v>
      </c>
      <c r="C33" s="170" t="s">
        <v>1065</v>
      </c>
      <c r="D33" s="170" t="s">
        <v>588</v>
      </c>
      <c r="E33" s="170" t="s">
        <v>293</v>
      </c>
      <c r="F33" s="170" t="s">
        <v>410</v>
      </c>
      <c r="G33" s="170" t="s">
        <v>1180</v>
      </c>
      <c r="H33" s="170" t="s">
        <v>39</v>
      </c>
      <c r="I33" s="394">
        <v>1921000</v>
      </c>
      <c r="J33" s="395">
        <v>98.864000000000004</v>
      </c>
      <c r="K33" s="395">
        <v>1</v>
      </c>
      <c r="L33" s="395">
        <v>0.98982800000000004</v>
      </c>
      <c r="M33" s="394">
        <v>1901458.63</v>
      </c>
      <c r="N33" s="390">
        <v>3.6118000000000001E-3</v>
      </c>
    </row>
    <row r="34" spans="1:14">
      <c r="A34" s="170" t="s">
        <v>963</v>
      </c>
      <c r="B34" s="170" t="s">
        <v>962</v>
      </c>
      <c r="C34" s="170" t="s">
        <v>1065</v>
      </c>
      <c r="D34" s="170" t="s">
        <v>567</v>
      </c>
      <c r="E34" s="170" t="s">
        <v>287</v>
      </c>
      <c r="F34" s="170" t="s">
        <v>476</v>
      </c>
      <c r="G34" s="170" t="s">
        <v>1179</v>
      </c>
      <c r="H34" s="170" t="s">
        <v>39</v>
      </c>
      <c r="I34" s="394">
        <v>2500000</v>
      </c>
      <c r="J34" s="395">
        <v>87.231999999999999</v>
      </c>
      <c r="K34" s="395">
        <v>1</v>
      </c>
      <c r="L34" s="395">
        <v>0.88253899999999996</v>
      </c>
      <c r="M34" s="394">
        <v>2206346.88</v>
      </c>
      <c r="N34" s="390">
        <v>4.1909399999999998E-3</v>
      </c>
    </row>
    <row r="35" spans="1:14">
      <c r="A35" s="170" t="s">
        <v>960</v>
      </c>
      <c r="B35" s="170" t="s">
        <v>959</v>
      </c>
      <c r="C35" s="170" t="s">
        <v>1065</v>
      </c>
      <c r="D35" s="170" t="s">
        <v>497</v>
      </c>
      <c r="E35" s="170" t="s">
        <v>576</v>
      </c>
      <c r="F35" s="170" t="s">
        <v>411</v>
      </c>
      <c r="G35" s="170" t="s">
        <v>1079</v>
      </c>
      <c r="H35" s="170" t="s">
        <v>39</v>
      </c>
      <c r="I35" s="394">
        <v>3400000</v>
      </c>
      <c r="J35" s="395">
        <v>100.754</v>
      </c>
      <c r="K35" s="395">
        <v>1</v>
      </c>
      <c r="L35" s="395">
        <v>1.019954</v>
      </c>
      <c r="M35" s="394">
        <v>3467844.9</v>
      </c>
      <c r="N35" s="390">
        <v>6.58714E-3</v>
      </c>
    </row>
    <row r="36" spans="1:14">
      <c r="A36" s="170" t="s">
        <v>958</v>
      </c>
      <c r="B36" s="170" t="s">
        <v>957</v>
      </c>
      <c r="C36" s="170" t="s">
        <v>1065</v>
      </c>
      <c r="D36" s="170" t="s">
        <v>612</v>
      </c>
      <c r="E36" s="170" t="s">
        <v>685</v>
      </c>
      <c r="F36" s="170" t="s">
        <v>468</v>
      </c>
      <c r="G36" s="170" t="s">
        <v>1178</v>
      </c>
      <c r="H36" s="170" t="s">
        <v>39</v>
      </c>
      <c r="I36" s="394">
        <v>1376000</v>
      </c>
      <c r="J36" s="395">
        <v>97.045000000000002</v>
      </c>
      <c r="K36" s="395">
        <v>1</v>
      </c>
      <c r="L36" s="395">
        <v>0.97067199999999998</v>
      </c>
      <c r="M36" s="394">
        <v>1335644.98</v>
      </c>
      <c r="N36" s="390">
        <v>2.5370499999999999E-3</v>
      </c>
    </row>
    <row r="37" spans="1:14">
      <c r="A37" s="170" t="s">
        <v>955</v>
      </c>
      <c r="B37" s="170" t="s">
        <v>954</v>
      </c>
      <c r="C37" s="170" t="s">
        <v>1065</v>
      </c>
      <c r="D37" s="170" t="s">
        <v>508</v>
      </c>
      <c r="E37" s="170" t="s">
        <v>293</v>
      </c>
      <c r="F37" s="170" t="s">
        <v>471</v>
      </c>
      <c r="G37" s="170" t="s">
        <v>1151</v>
      </c>
      <c r="H37" s="170" t="s">
        <v>39</v>
      </c>
      <c r="I37" s="394">
        <v>1925000</v>
      </c>
      <c r="J37" s="395">
        <v>96.822000000000003</v>
      </c>
      <c r="K37" s="395">
        <v>1</v>
      </c>
      <c r="L37" s="395">
        <v>0.96837600000000001</v>
      </c>
      <c r="M37" s="394">
        <v>1864124.28</v>
      </c>
      <c r="N37" s="390">
        <v>3.5408900000000001E-3</v>
      </c>
    </row>
    <row r="38" spans="1:14">
      <c r="A38" s="170" t="s">
        <v>1236</v>
      </c>
      <c r="B38" s="170" t="s">
        <v>1235</v>
      </c>
      <c r="C38" s="170" t="s">
        <v>1065</v>
      </c>
      <c r="D38" s="170" t="s">
        <v>513</v>
      </c>
      <c r="E38" s="170" t="s">
        <v>1234</v>
      </c>
      <c r="F38" s="170" t="s">
        <v>1233</v>
      </c>
      <c r="G38" s="170" t="s">
        <v>1170</v>
      </c>
      <c r="H38" s="170" t="s">
        <v>39</v>
      </c>
      <c r="I38" s="394">
        <v>2365000</v>
      </c>
      <c r="J38" s="395">
        <v>100</v>
      </c>
      <c r="K38" s="395">
        <v>1</v>
      </c>
      <c r="L38" s="395">
        <v>1.0181910000000001</v>
      </c>
      <c r="M38" s="394">
        <v>2408021.65</v>
      </c>
      <c r="N38" s="390">
        <v>4.5740199999999998E-3</v>
      </c>
    </row>
    <row r="39" spans="1:14">
      <c r="A39" s="170" t="s">
        <v>953</v>
      </c>
      <c r="B39" s="170" t="s">
        <v>952</v>
      </c>
      <c r="C39" s="170" t="s">
        <v>1065</v>
      </c>
      <c r="D39" s="170" t="s">
        <v>508</v>
      </c>
      <c r="E39" s="170" t="s">
        <v>532</v>
      </c>
      <c r="F39" s="170" t="s">
        <v>340</v>
      </c>
      <c r="G39" s="170" t="s">
        <v>1177</v>
      </c>
      <c r="H39" s="170" t="s">
        <v>39</v>
      </c>
      <c r="I39" s="394">
        <v>2900000</v>
      </c>
      <c r="J39" s="395">
        <v>73.084000000000003</v>
      </c>
      <c r="K39" s="395">
        <v>1</v>
      </c>
      <c r="L39" s="395">
        <v>0.73358000000000001</v>
      </c>
      <c r="M39" s="394">
        <v>2127381.21</v>
      </c>
      <c r="N39" s="390">
        <v>4.0409399999999998E-3</v>
      </c>
    </row>
    <row r="40" spans="1:14">
      <c r="A40" s="170" t="s">
        <v>950</v>
      </c>
      <c r="B40" s="170" t="s">
        <v>949</v>
      </c>
      <c r="C40" s="170" t="s">
        <v>1065</v>
      </c>
      <c r="D40" s="170" t="s">
        <v>588</v>
      </c>
      <c r="E40" s="170" t="s">
        <v>532</v>
      </c>
      <c r="F40" s="170" t="s">
        <v>357</v>
      </c>
      <c r="G40" s="170" t="s">
        <v>1176</v>
      </c>
      <c r="H40" s="170" t="s">
        <v>39</v>
      </c>
      <c r="I40" s="394">
        <v>2643000</v>
      </c>
      <c r="J40" s="395">
        <v>97.688000000000002</v>
      </c>
      <c r="K40" s="395">
        <v>1</v>
      </c>
      <c r="L40" s="395">
        <v>0.97806700000000002</v>
      </c>
      <c r="M40" s="394">
        <v>2585032.4</v>
      </c>
      <c r="N40" s="390">
        <v>4.9102499999999997E-3</v>
      </c>
    </row>
    <row r="41" spans="1:14">
      <c r="A41" s="170" t="s">
        <v>1232</v>
      </c>
      <c r="B41" s="170" t="s">
        <v>1231</v>
      </c>
      <c r="C41" s="170" t="s">
        <v>1065</v>
      </c>
      <c r="D41" s="170" t="s">
        <v>612</v>
      </c>
      <c r="E41" s="170" t="s">
        <v>685</v>
      </c>
      <c r="F41" s="170" t="s">
        <v>1230</v>
      </c>
      <c r="G41" s="170" t="s">
        <v>1079</v>
      </c>
      <c r="H41" s="170" t="s">
        <v>39</v>
      </c>
      <c r="I41" s="394">
        <v>1856000</v>
      </c>
      <c r="J41" s="395">
        <v>100</v>
      </c>
      <c r="K41" s="395">
        <v>1</v>
      </c>
      <c r="L41" s="395">
        <v>1.0344180000000001</v>
      </c>
      <c r="M41" s="394">
        <v>1919879.45</v>
      </c>
      <c r="N41" s="390">
        <v>3.64679E-3</v>
      </c>
    </row>
    <row r="42" spans="1:14">
      <c r="A42" s="170" t="s">
        <v>947</v>
      </c>
      <c r="B42" s="170" t="s">
        <v>946</v>
      </c>
      <c r="C42" s="170" t="s">
        <v>1065</v>
      </c>
      <c r="D42" s="170" t="s">
        <v>551</v>
      </c>
      <c r="E42" s="170" t="s">
        <v>532</v>
      </c>
      <c r="F42" s="170" t="s">
        <v>465</v>
      </c>
      <c r="G42" s="170" t="s">
        <v>1175</v>
      </c>
      <c r="H42" s="170" t="s">
        <v>39</v>
      </c>
      <c r="I42" s="394">
        <v>2376000</v>
      </c>
      <c r="J42" s="395">
        <v>100.152</v>
      </c>
      <c r="K42" s="395">
        <v>1</v>
      </c>
      <c r="L42" s="395">
        <v>1.003565</v>
      </c>
      <c r="M42" s="394">
        <v>2384470.77</v>
      </c>
      <c r="N42" s="390">
        <v>4.5292800000000001E-3</v>
      </c>
    </row>
    <row r="43" spans="1:14">
      <c r="A43" s="170" t="s">
        <v>944</v>
      </c>
      <c r="B43" s="170" t="s">
        <v>943</v>
      </c>
      <c r="C43" s="170" t="s">
        <v>1065</v>
      </c>
      <c r="D43" s="170" t="s">
        <v>575</v>
      </c>
      <c r="E43" s="170" t="s">
        <v>287</v>
      </c>
      <c r="F43" s="170" t="s">
        <v>425</v>
      </c>
      <c r="G43" s="170" t="s">
        <v>1165</v>
      </c>
      <c r="H43" s="170" t="s">
        <v>39</v>
      </c>
      <c r="I43" s="394">
        <v>778000</v>
      </c>
      <c r="J43" s="395">
        <v>100.069</v>
      </c>
      <c r="K43" s="395">
        <v>1</v>
      </c>
      <c r="L43" s="395">
        <v>1.0057940000000001</v>
      </c>
      <c r="M43" s="394">
        <v>782507.86</v>
      </c>
      <c r="N43" s="390">
        <v>1.4863700000000001E-3</v>
      </c>
    </row>
    <row r="44" spans="1:14">
      <c r="A44" s="170" t="s">
        <v>942</v>
      </c>
      <c r="B44" s="170" t="s">
        <v>941</v>
      </c>
      <c r="C44" s="170" t="s">
        <v>1065</v>
      </c>
      <c r="D44" s="170" t="s">
        <v>567</v>
      </c>
      <c r="E44" s="170" t="s">
        <v>514</v>
      </c>
      <c r="F44" s="170" t="s">
        <v>338</v>
      </c>
      <c r="G44" s="170" t="s">
        <v>1174</v>
      </c>
      <c r="H44" s="170" t="s">
        <v>39</v>
      </c>
      <c r="I44" s="394">
        <v>5542000</v>
      </c>
      <c r="J44" s="395">
        <v>96.596000000000004</v>
      </c>
      <c r="K44" s="395">
        <v>1</v>
      </c>
      <c r="L44" s="395">
        <v>0.99407000000000001</v>
      </c>
      <c r="M44" s="394">
        <v>5509133.6600000001</v>
      </c>
      <c r="N44" s="390">
        <v>1.046455E-2</v>
      </c>
    </row>
    <row r="45" spans="1:14">
      <c r="A45" s="170" t="s">
        <v>939</v>
      </c>
      <c r="B45" s="170" t="s">
        <v>938</v>
      </c>
      <c r="C45" s="170" t="s">
        <v>1065</v>
      </c>
      <c r="D45" s="170" t="s">
        <v>567</v>
      </c>
      <c r="E45" s="170" t="s">
        <v>571</v>
      </c>
      <c r="F45" s="170" t="s">
        <v>399</v>
      </c>
      <c r="G45" s="170" t="s">
        <v>1173</v>
      </c>
      <c r="H45" s="170" t="s">
        <v>39</v>
      </c>
      <c r="I45" s="394">
        <v>4496000</v>
      </c>
      <c r="J45" s="395">
        <v>100.223</v>
      </c>
      <c r="K45" s="395">
        <v>1</v>
      </c>
      <c r="L45" s="395">
        <v>1.017674</v>
      </c>
      <c r="M45" s="394">
        <v>4575464.3</v>
      </c>
      <c r="N45" s="390">
        <v>8.6910500000000005E-3</v>
      </c>
    </row>
    <row r="46" spans="1:14">
      <c r="A46" s="170" t="s">
        <v>936</v>
      </c>
      <c r="B46" s="170" t="s">
        <v>935</v>
      </c>
      <c r="C46" s="170" t="s">
        <v>1065</v>
      </c>
      <c r="D46" s="170" t="s">
        <v>588</v>
      </c>
      <c r="E46" s="170" t="s">
        <v>934</v>
      </c>
      <c r="F46" s="170" t="s">
        <v>458</v>
      </c>
      <c r="G46" s="170" t="s">
        <v>1172</v>
      </c>
      <c r="H46" s="170" t="s">
        <v>39</v>
      </c>
      <c r="I46" s="394">
        <v>3208000</v>
      </c>
      <c r="J46" s="395">
        <v>98.593999999999994</v>
      </c>
      <c r="K46" s="395">
        <v>1</v>
      </c>
      <c r="L46" s="395">
        <v>0.99207500000000004</v>
      </c>
      <c r="M46" s="394">
        <v>3182577.94</v>
      </c>
      <c r="N46" s="390">
        <v>6.0452800000000001E-3</v>
      </c>
    </row>
    <row r="47" spans="1:14">
      <c r="A47" s="170" t="s">
        <v>932</v>
      </c>
      <c r="B47" s="170" t="s">
        <v>931</v>
      </c>
      <c r="C47" s="170" t="s">
        <v>1065</v>
      </c>
      <c r="D47" s="170" t="s">
        <v>622</v>
      </c>
      <c r="E47" s="170" t="s">
        <v>293</v>
      </c>
      <c r="F47" s="170" t="s">
        <v>421</v>
      </c>
      <c r="G47" s="170" t="s">
        <v>1079</v>
      </c>
      <c r="H47" s="170" t="s">
        <v>39</v>
      </c>
      <c r="I47" s="394">
        <v>3700000</v>
      </c>
      <c r="J47" s="395">
        <v>96.875</v>
      </c>
      <c r="K47" s="395">
        <v>1</v>
      </c>
      <c r="L47" s="395">
        <v>0.971051</v>
      </c>
      <c r="M47" s="394">
        <v>3592890.07</v>
      </c>
      <c r="N47" s="390">
        <v>6.8246599999999998E-3</v>
      </c>
    </row>
    <row r="48" spans="1:14">
      <c r="A48" s="170" t="s">
        <v>930</v>
      </c>
      <c r="B48" s="170" t="s">
        <v>929</v>
      </c>
      <c r="C48" s="170" t="s">
        <v>1065</v>
      </c>
      <c r="D48" s="170" t="s">
        <v>567</v>
      </c>
      <c r="E48" s="170" t="s">
        <v>685</v>
      </c>
      <c r="F48" s="170" t="s">
        <v>334</v>
      </c>
      <c r="G48" s="170" t="s">
        <v>1156</v>
      </c>
      <c r="H48" s="170" t="s">
        <v>39</v>
      </c>
      <c r="I48" s="394">
        <v>1700000</v>
      </c>
      <c r="J48" s="395">
        <v>91.688000000000002</v>
      </c>
      <c r="K48" s="395">
        <v>1</v>
      </c>
      <c r="L48" s="395">
        <v>0.92558499999999999</v>
      </c>
      <c r="M48" s="394">
        <v>1573494.26</v>
      </c>
      <c r="N48" s="390">
        <v>2.98884E-3</v>
      </c>
    </row>
    <row r="49" spans="1:14">
      <c r="A49" s="170" t="s">
        <v>928</v>
      </c>
      <c r="B49" s="170" t="s">
        <v>927</v>
      </c>
      <c r="C49" s="170" t="s">
        <v>1065</v>
      </c>
      <c r="D49" s="170" t="s">
        <v>588</v>
      </c>
      <c r="E49" s="170" t="s">
        <v>547</v>
      </c>
      <c r="F49" s="170" t="s">
        <v>341</v>
      </c>
      <c r="G49" s="170" t="s">
        <v>1171</v>
      </c>
      <c r="H49" s="170" t="s">
        <v>39</v>
      </c>
      <c r="I49" s="394">
        <v>1700000</v>
      </c>
      <c r="J49" s="395">
        <v>100.947</v>
      </c>
      <c r="K49" s="395">
        <v>1</v>
      </c>
      <c r="L49" s="395">
        <v>1.034116</v>
      </c>
      <c r="M49" s="394">
        <v>1757996.92</v>
      </c>
      <c r="N49" s="390">
        <v>3.3392999999999999E-3</v>
      </c>
    </row>
    <row r="50" spans="1:14">
      <c r="A50" s="170" t="s">
        <v>925</v>
      </c>
      <c r="B50" s="170" t="s">
        <v>924</v>
      </c>
      <c r="C50" s="170" t="s">
        <v>1065</v>
      </c>
      <c r="D50" s="170" t="s">
        <v>588</v>
      </c>
      <c r="E50" s="170" t="s">
        <v>547</v>
      </c>
      <c r="F50" s="170" t="s">
        <v>342</v>
      </c>
      <c r="G50" s="170" t="s">
        <v>1170</v>
      </c>
      <c r="H50" s="170" t="s">
        <v>39</v>
      </c>
      <c r="I50" s="394">
        <v>700000</v>
      </c>
      <c r="J50" s="395">
        <v>99.856999999999999</v>
      </c>
      <c r="K50" s="395">
        <v>1</v>
      </c>
      <c r="L50" s="395">
        <v>1.013827</v>
      </c>
      <c r="M50" s="394">
        <v>709678.86</v>
      </c>
      <c r="N50" s="390">
        <v>1.3480300000000001E-3</v>
      </c>
    </row>
    <row r="51" spans="1:14">
      <c r="A51" s="170" t="s">
        <v>922</v>
      </c>
      <c r="B51" s="170" t="s">
        <v>921</v>
      </c>
      <c r="C51" s="170" t="s">
        <v>1065</v>
      </c>
      <c r="D51" s="170" t="s">
        <v>622</v>
      </c>
      <c r="E51" s="170" t="s">
        <v>293</v>
      </c>
      <c r="F51" s="170" t="s">
        <v>416</v>
      </c>
      <c r="G51" s="170" t="s">
        <v>1079</v>
      </c>
      <c r="H51" s="170" t="s">
        <v>39</v>
      </c>
      <c r="I51" s="394">
        <v>1800000</v>
      </c>
      <c r="J51" s="395">
        <v>90.79</v>
      </c>
      <c r="K51" s="395">
        <v>1</v>
      </c>
      <c r="L51" s="395">
        <v>0.90872200000000003</v>
      </c>
      <c r="M51" s="394">
        <v>1635699.45</v>
      </c>
      <c r="N51" s="390">
        <v>3.107E-3</v>
      </c>
    </row>
    <row r="52" spans="1:14">
      <c r="A52" s="170" t="s">
        <v>920</v>
      </c>
      <c r="B52" s="170" t="s">
        <v>802</v>
      </c>
      <c r="C52" s="170" t="s">
        <v>1065</v>
      </c>
      <c r="D52" s="170" t="s">
        <v>567</v>
      </c>
      <c r="E52" s="170" t="s">
        <v>685</v>
      </c>
      <c r="F52" s="170" t="s">
        <v>350</v>
      </c>
      <c r="G52" s="170" t="s">
        <v>1079</v>
      </c>
      <c r="H52" s="170" t="s">
        <v>39</v>
      </c>
      <c r="I52" s="394">
        <v>2100000</v>
      </c>
      <c r="J52" s="395">
        <v>95.311999999999998</v>
      </c>
      <c r="K52" s="395">
        <v>1</v>
      </c>
      <c r="L52" s="395">
        <v>0.958588</v>
      </c>
      <c r="M52" s="394">
        <v>2013034.92</v>
      </c>
      <c r="N52" s="390">
        <v>3.82374E-3</v>
      </c>
    </row>
    <row r="53" spans="1:14">
      <c r="A53" s="170" t="s">
        <v>919</v>
      </c>
      <c r="B53" s="170" t="s">
        <v>918</v>
      </c>
      <c r="C53" s="170" t="s">
        <v>1065</v>
      </c>
      <c r="D53" s="170" t="s">
        <v>551</v>
      </c>
      <c r="E53" s="170" t="s">
        <v>532</v>
      </c>
      <c r="F53" s="170" t="s">
        <v>408</v>
      </c>
      <c r="G53" s="170" t="s">
        <v>1138</v>
      </c>
      <c r="H53" s="170" t="s">
        <v>39</v>
      </c>
      <c r="I53" s="394">
        <v>1524000</v>
      </c>
      <c r="J53" s="395">
        <v>96.992999999999995</v>
      </c>
      <c r="K53" s="395">
        <v>1</v>
      </c>
      <c r="L53" s="395">
        <v>0.97861799999999999</v>
      </c>
      <c r="M53" s="394">
        <v>1491413.07</v>
      </c>
      <c r="N53" s="390">
        <v>2.83293E-3</v>
      </c>
    </row>
    <row r="54" spans="1:14">
      <c r="A54" s="170" t="s">
        <v>917</v>
      </c>
      <c r="B54" s="170" t="s">
        <v>916</v>
      </c>
      <c r="C54" s="170" t="s">
        <v>1065</v>
      </c>
      <c r="D54" s="170" t="s">
        <v>551</v>
      </c>
      <c r="E54" s="170" t="s">
        <v>532</v>
      </c>
      <c r="F54" s="170" t="s">
        <v>377</v>
      </c>
      <c r="G54" s="170" t="s">
        <v>1169</v>
      </c>
      <c r="H54" s="170" t="s">
        <v>39</v>
      </c>
      <c r="I54" s="394">
        <v>4021000</v>
      </c>
      <c r="J54" s="395">
        <v>98.611000000000004</v>
      </c>
      <c r="K54" s="395">
        <v>1</v>
      </c>
      <c r="L54" s="395">
        <v>0.99361699999999997</v>
      </c>
      <c r="M54" s="394">
        <v>3995333.73</v>
      </c>
      <c r="N54" s="390">
        <v>7.5890999999999997E-3</v>
      </c>
    </row>
    <row r="55" spans="1:14">
      <c r="A55" s="170" t="s">
        <v>914</v>
      </c>
      <c r="B55" s="170" t="s">
        <v>913</v>
      </c>
      <c r="C55" s="170" t="s">
        <v>1065</v>
      </c>
      <c r="D55" s="170" t="s">
        <v>634</v>
      </c>
      <c r="E55" s="170" t="s">
        <v>287</v>
      </c>
      <c r="F55" s="170" t="s">
        <v>450</v>
      </c>
      <c r="G55" s="170" t="s">
        <v>1117</v>
      </c>
      <c r="H55" s="170" t="s">
        <v>39</v>
      </c>
      <c r="I55" s="394">
        <v>2170000</v>
      </c>
      <c r="J55" s="395">
        <v>98.132000000000005</v>
      </c>
      <c r="K55" s="395">
        <v>1</v>
      </c>
      <c r="L55" s="395">
        <v>0.98296899999999998</v>
      </c>
      <c r="M55" s="394">
        <v>2133043.39</v>
      </c>
      <c r="N55" s="390">
        <v>4.0517000000000001E-3</v>
      </c>
    </row>
    <row r="56" spans="1:14">
      <c r="A56" s="170" t="s">
        <v>912</v>
      </c>
      <c r="B56" s="170" t="s">
        <v>911</v>
      </c>
      <c r="C56" s="170" t="s">
        <v>1065</v>
      </c>
      <c r="D56" s="170" t="s">
        <v>551</v>
      </c>
      <c r="E56" s="170" t="s">
        <v>576</v>
      </c>
      <c r="F56" s="170" t="s">
        <v>418</v>
      </c>
      <c r="G56" s="170" t="s">
        <v>1168</v>
      </c>
      <c r="H56" s="170" t="s">
        <v>39</v>
      </c>
      <c r="I56" s="394">
        <v>4930000</v>
      </c>
      <c r="J56" s="395">
        <v>100.76900000000001</v>
      </c>
      <c r="K56" s="395">
        <v>1</v>
      </c>
      <c r="L56" s="395">
        <v>1.016742</v>
      </c>
      <c r="M56" s="394">
        <v>5012538.47</v>
      </c>
      <c r="N56" s="390">
        <v>9.5212700000000001E-3</v>
      </c>
    </row>
    <row r="57" spans="1:14">
      <c r="A57" s="170" t="s">
        <v>909</v>
      </c>
      <c r="B57" s="170" t="s">
        <v>908</v>
      </c>
      <c r="C57" s="170" t="s">
        <v>1065</v>
      </c>
      <c r="D57" s="170" t="s">
        <v>575</v>
      </c>
      <c r="E57" s="170" t="s">
        <v>685</v>
      </c>
      <c r="F57" s="170" t="s">
        <v>337</v>
      </c>
      <c r="G57" s="170" t="s">
        <v>1079</v>
      </c>
      <c r="H57" s="170" t="s">
        <v>39</v>
      </c>
      <c r="I57" s="394">
        <v>6500000</v>
      </c>
      <c r="J57" s="395">
        <v>96.63</v>
      </c>
      <c r="K57" s="395">
        <v>1</v>
      </c>
      <c r="L57" s="395">
        <v>0.98176200000000002</v>
      </c>
      <c r="M57" s="394">
        <v>6381455.1399999997</v>
      </c>
      <c r="N57" s="390">
        <v>1.212152E-2</v>
      </c>
    </row>
    <row r="58" spans="1:14">
      <c r="A58" s="170" t="s">
        <v>907</v>
      </c>
      <c r="B58" s="170" t="s">
        <v>906</v>
      </c>
      <c r="C58" s="170" t="s">
        <v>1065</v>
      </c>
      <c r="D58" s="170" t="s">
        <v>508</v>
      </c>
      <c r="E58" s="170" t="s">
        <v>685</v>
      </c>
      <c r="F58" s="170" t="s">
        <v>434</v>
      </c>
      <c r="G58" s="170" t="s">
        <v>1167</v>
      </c>
      <c r="H58" s="170" t="s">
        <v>39</v>
      </c>
      <c r="I58" s="394">
        <v>2924000</v>
      </c>
      <c r="J58" s="395">
        <v>97.218999999999994</v>
      </c>
      <c r="K58" s="395">
        <v>1</v>
      </c>
      <c r="L58" s="395">
        <v>0.97549600000000003</v>
      </c>
      <c r="M58" s="394">
        <v>2852349</v>
      </c>
      <c r="N58" s="390">
        <v>5.41801E-3</v>
      </c>
    </row>
    <row r="59" spans="1:14">
      <c r="A59" s="170" t="s">
        <v>904</v>
      </c>
      <c r="B59" s="170" t="s">
        <v>903</v>
      </c>
      <c r="C59" s="170" t="s">
        <v>1065</v>
      </c>
      <c r="D59" s="170" t="s">
        <v>642</v>
      </c>
      <c r="E59" s="170" t="s">
        <v>514</v>
      </c>
      <c r="F59" s="170" t="s">
        <v>386</v>
      </c>
      <c r="G59" s="170" t="s">
        <v>1166</v>
      </c>
      <c r="H59" s="170" t="s">
        <v>39</v>
      </c>
      <c r="I59" s="394">
        <v>2124000</v>
      </c>
      <c r="J59" s="395">
        <v>98.692999999999998</v>
      </c>
      <c r="K59" s="395">
        <v>1</v>
      </c>
      <c r="L59" s="395">
        <v>0.98824900000000004</v>
      </c>
      <c r="M59" s="394">
        <v>2099041.8199999998</v>
      </c>
      <c r="N59" s="390">
        <v>3.9871100000000003E-3</v>
      </c>
    </row>
    <row r="60" spans="1:14">
      <c r="A60" s="170" t="s">
        <v>901</v>
      </c>
      <c r="B60" s="170" t="s">
        <v>900</v>
      </c>
      <c r="C60" s="170" t="s">
        <v>1065</v>
      </c>
      <c r="D60" s="170" t="s">
        <v>588</v>
      </c>
      <c r="E60" s="170" t="s">
        <v>499</v>
      </c>
      <c r="F60" s="170" t="s">
        <v>415</v>
      </c>
      <c r="G60" s="170" t="s">
        <v>1165</v>
      </c>
      <c r="H60" s="170" t="s">
        <v>39</v>
      </c>
      <c r="I60" s="394">
        <v>4637000</v>
      </c>
      <c r="J60" s="395">
        <v>98.352999999999994</v>
      </c>
      <c r="K60" s="395">
        <v>1</v>
      </c>
      <c r="L60" s="395">
        <v>0.987954</v>
      </c>
      <c r="M60" s="394">
        <v>4581140.8899999997</v>
      </c>
      <c r="N60" s="390">
        <v>8.7018400000000006E-3</v>
      </c>
    </row>
    <row r="61" spans="1:14">
      <c r="A61" s="170" t="s">
        <v>898</v>
      </c>
      <c r="B61" s="170" t="s">
        <v>897</v>
      </c>
      <c r="C61" s="170" t="s">
        <v>1065</v>
      </c>
      <c r="D61" s="170" t="s">
        <v>622</v>
      </c>
      <c r="E61" s="170" t="s">
        <v>547</v>
      </c>
      <c r="F61" s="170" t="s">
        <v>457</v>
      </c>
      <c r="G61" s="170" t="s">
        <v>1079</v>
      </c>
      <c r="H61" s="170" t="s">
        <v>39</v>
      </c>
      <c r="I61" s="394">
        <v>2724000</v>
      </c>
      <c r="J61" s="395">
        <v>98.643000000000001</v>
      </c>
      <c r="K61" s="395">
        <v>1</v>
      </c>
      <c r="L61" s="395">
        <v>0.99970099999999995</v>
      </c>
      <c r="M61" s="394">
        <v>2723184.29</v>
      </c>
      <c r="N61" s="390">
        <v>5.1726599999999999E-3</v>
      </c>
    </row>
    <row r="62" spans="1:14">
      <c r="A62" s="170" t="s">
        <v>896</v>
      </c>
      <c r="B62" s="170" t="s">
        <v>895</v>
      </c>
      <c r="C62" s="170" t="s">
        <v>1065</v>
      </c>
      <c r="D62" s="170" t="s">
        <v>508</v>
      </c>
      <c r="E62" s="170" t="s">
        <v>685</v>
      </c>
      <c r="F62" s="170" t="s">
        <v>486</v>
      </c>
      <c r="G62" s="170" t="s">
        <v>1164</v>
      </c>
      <c r="H62" s="170" t="s">
        <v>39</v>
      </c>
      <c r="I62" s="394">
        <v>3805000</v>
      </c>
      <c r="J62" s="395">
        <v>96.507000000000005</v>
      </c>
      <c r="K62" s="395">
        <v>1</v>
      </c>
      <c r="L62" s="395">
        <v>0.96879599999999999</v>
      </c>
      <c r="M62" s="394">
        <v>3686268.88</v>
      </c>
      <c r="N62" s="390">
        <v>7.0020300000000002E-3</v>
      </c>
    </row>
    <row r="63" spans="1:14">
      <c r="A63" s="170" t="s">
        <v>892</v>
      </c>
      <c r="B63" s="170" t="s">
        <v>891</v>
      </c>
      <c r="C63" s="170" t="s">
        <v>1065</v>
      </c>
      <c r="D63" s="170" t="s">
        <v>513</v>
      </c>
      <c r="E63" s="170" t="s">
        <v>293</v>
      </c>
      <c r="F63" s="170" t="s">
        <v>452</v>
      </c>
      <c r="G63" s="170" t="s">
        <v>1163</v>
      </c>
      <c r="H63" s="170" t="s">
        <v>39</v>
      </c>
      <c r="I63" s="394">
        <v>1100000</v>
      </c>
      <c r="J63" s="395">
        <v>100.15900000000001</v>
      </c>
      <c r="K63" s="395">
        <v>1</v>
      </c>
      <c r="L63" s="395">
        <v>1.0189649999999999</v>
      </c>
      <c r="M63" s="394">
        <v>1120861.5</v>
      </c>
      <c r="N63" s="390">
        <v>2.1290699999999998E-3</v>
      </c>
    </row>
    <row r="64" spans="1:14">
      <c r="A64" s="170" t="s">
        <v>889</v>
      </c>
      <c r="B64" s="170" t="s">
        <v>888</v>
      </c>
      <c r="C64" s="170" t="s">
        <v>1065</v>
      </c>
      <c r="D64" s="170" t="s">
        <v>508</v>
      </c>
      <c r="E64" s="170" t="s">
        <v>514</v>
      </c>
      <c r="F64" s="170" t="s">
        <v>441</v>
      </c>
      <c r="G64" s="170" t="s">
        <v>1162</v>
      </c>
      <c r="H64" s="170" t="s">
        <v>39</v>
      </c>
      <c r="I64" s="394">
        <v>1746000</v>
      </c>
      <c r="J64" s="395">
        <v>98.700999999999993</v>
      </c>
      <c r="K64" s="395">
        <v>1</v>
      </c>
      <c r="L64" s="395">
        <v>0.99609300000000001</v>
      </c>
      <c r="M64" s="394">
        <v>1739178.96</v>
      </c>
      <c r="N64" s="390">
        <v>3.3035500000000001E-3</v>
      </c>
    </row>
    <row r="65" spans="1:14">
      <c r="A65" s="170" t="s">
        <v>886</v>
      </c>
      <c r="B65" s="170" t="s">
        <v>885</v>
      </c>
      <c r="C65" s="170" t="s">
        <v>1065</v>
      </c>
      <c r="D65" s="170" t="s">
        <v>567</v>
      </c>
      <c r="E65" s="170" t="s">
        <v>287</v>
      </c>
      <c r="F65" s="170" t="s">
        <v>476</v>
      </c>
      <c r="G65" s="170" t="s">
        <v>1161</v>
      </c>
      <c r="H65" s="170" t="s">
        <v>39</v>
      </c>
      <c r="I65" s="394">
        <v>2500000</v>
      </c>
      <c r="J65" s="395">
        <v>88.061000000000007</v>
      </c>
      <c r="K65" s="395">
        <v>1</v>
      </c>
      <c r="L65" s="395">
        <v>0.89349900000000004</v>
      </c>
      <c r="M65" s="394">
        <v>2233748.36</v>
      </c>
      <c r="N65" s="390">
        <v>4.2429900000000003E-3</v>
      </c>
    </row>
    <row r="66" spans="1:14">
      <c r="A66" s="170" t="s">
        <v>883</v>
      </c>
      <c r="B66" s="170" t="s">
        <v>882</v>
      </c>
      <c r="C66" s="170" t="s">
        <v>1065</v>
      </c>
      <c r="D66" s="170" t="s">
        <v>508</v>
      </c>
      <c r="E66" s="170" t="s">
        <v>547</v>
      </c>
      <c r="F66" s="170" t="s">
        <v>444</v>
      </c>
      <c r="G66" s="170" t="s">
        <v>1160</v>
      </c>
      <c r="H66" s="170" t="s">
        <v>39</v>
      </c>
      <c r="I66" s="394">
        <v>4340000</v>
      </c>
      <c r="J66" s="395">
        <v>94.039000000000001</v>
      </c>
      <c r="K66" s="395">
        <v>1</v>
      </c>
      <c r="L66" s="395">
        <v>0.95732200000000001</v>
      </c>
      <c r="M66" s="394">
        <v>4154775.34</v>
      </c>
      <c r="N66" s="390">
        <v>7.8919599999999999E-3</v>
      </c>
    </row>
    <row r="67" spans="1:14">
      <c r="A67" s="170" t="s">
        <v>880</v>
      </c>
      <c r="B67" s="170" t="s">
        <v>879</v>
      </c>
      <c r="C67" s="170" t="s">
        <v>1065</v>
      </c>
      <c r="D67" s="170" t="s">
        <v>551</v>
      </c>
      <c r="E67" s="170" t="s">
        <v>571</v>
      </c>
      <c r="F67" s="170" t="s">
        <v>420</v>
      </c>
      <c r="G67" s="170" t="s">
        <v>1159</v>
      </c>
      <c r="H67" s="170" t="s">
        <v>39</v>
      </c>
      <c r="I67" s="394">
        <v>4030000</v>
      </c>
      <c r="J67" s="395">
        <v>98.236000000000004</v>
      </c>
      <c r="K67" s="395">
        <v>1</v>
      </c>
      <c r="L67" s="395">
        <v>0.994093</v>
      </c>
      <c r="M67" s="394">
        <v>4006193.33</v>
      </c>
      <c r="N67" s="390">
        <v>7.6097300000000003E-3</v>
      </c>
    </row>
    <row r="68" spans="1:14">
      <c r="A68" s="170" t="s">
        <v>877</v>
      </c>
      <c r="B68" s="170" t="s">
        <v>876</v>
      </c>
      <c r="C68" s="170" t="s">
        <v>1065</v>
      </c>
      <c r="D68" s="170" t="s">
        <v>567</v>
      </c>
      <c r="E68" s="170" t="s">
        <v>571</v>
      </c>
      <c r="F68" s="170" t="s">
        <v>405</v>
      </c>
      <c r="G68" s="170" t="s">
        <v>1158</v>
      </c>
      <c r="H68" s="170" t="s">
        <v>39</v>
      </c>
      <c r="I68" s="394">
        <v>2924000</v>
      </c>
      <c r="J68" s="395">
        <v>101.70699999999999</v>
      </c>
      <c r="K68" s="395">
        <v>1</v>
      </c>
      <c r="L68" s="395">
        <v>1.0368580000000001</v>
      </c>
      <c r="M68" s="394">
        <v>3031773.36</v>
      </c>
      <c r="N68" s="390">
        <v>5.7588300000000004E-3</v>
      </c>
    </row>
    <row r="69" spans="1:14">
      <c r="A69" s="170" t="s">
        <v>874</v>
      </c>
      <c r="B69" s="170" t="s">
        <v>873</v>
      </c>
      <c r="C69" s="170" t="s">
        <v>1065</v>
      </c>
      <c r="D69" s="170" t="s">
        <v>551</v>
      </c>
      <c r="E69" s="170" t="s">
        <v>685</v>
      </c>
      <c r="F69" s="170" t="s">
        <v>347</v>
      </c>
      <c r="G69" s="170" t="s">
        <v>1157</v>
      </c>
      <c r="H69" s="170" t="s">
        <v>39</v>
      </c>
      <c r="I69" s="394">
        <v>3000000</v>
      </c>
      <c r="J69" s="395">
        <v>102.604</v>
      </c>
      <c r="K69" s="395">
        <v>1</v>
      </c>
      <c r="L69" s="395">
        <v>1.03637</v>
      </c>
      <c r="M69" s="394">
        <v>3109109.58</v>
      </c>
      <c r="N69" s="390">
        <v>5.9057299999999997E-3</v>
      </c>
    </row>
    <row r="70" spans="1:14">
      <c r="A70" s="170" t="s">
        <v>871</v>
      </c>
      <c r="B70" s="170" t="s">
        <v>870</v>
      </c>
      <c r="C70" s="170" t="s">
        <v>1065</v>
      </c>
      <c r="D70" s="170" t="s">
        <v>544</v>
      </c>
      <c r="E70" s="170" t="s">
        <v>685</v>
      </c>
      <c r="F70" s="170" t="s">
        <v>391</v>
      </c>
      <c r="G70" s="170" t="s">
        <v>1079</v>
      </c>
      <c r="H70" s="170" t="s">
        <v>39</v>
      </c>
      <c r="I70" s="394">
        <v>3300000</v>
      </c>
      <c r="J70" s="395">
        <v>98.703000000000003</v>
      </c>
      <c r="K70" s="395">
        <v>1</v>
      </c>
      <c r="L70" s="395">
        <v>0.99764699999999995</v>
      </c>
      <c r="M70" s="394">
        <v>3292235.28</v>
      </c>
      <c r="N70" s="390">
        <v>6.25357E-3</v>
      </c>
    </row>
    <row r="71" spans="1:14">
      <c r="A71" s="170" t="s">
        <v>869</v>
      </c>
      <c r="B71" s="170" t="s">
        <v>802</v>
      </c>
      <c r="C71" s="170" t="s">
        <v>1065</v>
      </c>
      <c r="D71" s="170" t="s">
        <v>567</v>
      </c>
      <c r="E71" s="170" t="s">
        <v>685</v>
      </c>
      <c r="F71" s="170" t="s">
        <v>350</v>
      </c>
      <c r="G71" s="170" t="s">
        <v>1079</v>
      </c>
      <c r="H71" s="170" t="s">
        <v>39</v>
      </c>
      <c r="I71" s="394">
        <v>1100000</v>
      </c>
      <c r="J71" s="395">
        <v>98.415000000000006</v>
      </c>
      <c r="K71" s="395">
        <v>1</v>
      </c>
      <c r="L71" s="395">
        <v>0.98983100000000002</v>
      </c>
      <c r="M71" s="394">
        <v>1088814.21</v>
      </c>
      <c r="N71" s="390">
        <v>2.0681900000000001E-3</v>
      </c>
    </row>
    <row r="72" spans="1:14">
      <c r="A72" s="170" t="s">
        <v>868</v>
      </c>
      <c r="B72" s="170" t="s">
        <v>867</v>
      </c>
      <c r="C72" s="170" t="s">
        <v>1065</v>
      </c>
      <c r="D72" s="170" t="s">
        <v>567</v>
      </c>
      <c r="E72" s="170" t="s">
        <v>685</v>
      </c>
      <c r="F72" s="170" t="s">
        <v>384</v>
      </c>
      <c r="G72" s="170" t="s">
        <v>1156</v>
      </c>
      <c r="H72" s="170" t="s">
        <v>39</v>
      </c>
      <c r="I72" s="394">
        <v>900000</v>
      </c>
      <c r="J72" s="395">
        <v>99.820999999999998</v>
      </c>
      <c r="K72" s="395">
        <v>1</v>
      </c>
      <c r="L72" s="395">
        <v>1.000248</v>
      </c>
      <c r="M72" s="394">
        <v>900223.24</v>
      </c>
      <c r="N72" s="390">
        <v>1.7099699999999999E-3</v>
      </c>
    </row>
    <row r="73" spans="1:14">
      <c r="A73" s="170" t="s">
        <v>865</v>
      </c>
      <c r="B73" s="170" t="s">
        <v>864</v>
      </c>
      <c r="C73" s="170" t="s">
        <v>1065</v>
      </c>
      <c r="D73" s="170" t="s">
        <v>567</v>
      </c>
      <c r="E73" s="170" t="s">
        <v>685</v>
      </c>
      <c r="F73" s="170" t="s">
        <v>385</v>
      </c>
      <c r="G73" s="170" t="s">
        <v>1155</v>
      </c>
      <c r="H73" s="170" t="s">
        <v>39</v>
      </c>
      <c r="I73" s="394">
        <v>3246000</v>
      </c>
      <c r="J73" s="395">
        <v>101.188</v>
      </c>
      <c r="K73" s="395">
        <v>1</v>
      </c>
      <c r="L73" s="395">
        <v>1.014783</v>
      </c>
      <c r="M73" s="394">
        <v>3293984.9</v>
      </c>
      <c r="N73" s="390">
        <v>6.2568900000000002E-3</v>
      </c>
    </row>
    <row r="74" spans="1:14">
      <c r="A74" s="170" t="s">
        <v>862</v>
      </c>
      <c r="B74" s="170" t="s">
        <v>861</v>
      </c>
      <c r="C74" s="170" t="s">
        <v>1065</v>
      </c>
      <c r="D74" s="170" t="s">
        <v>567</v>
      </c>
      <c r="E74" s="170" t="s">
        <v>685</v>
      </c>
      <c r="F74" s="170" t="s">
        <v>335</v>
      </c>
      <c r="G74" s="170" t="s">
        <v>1154</v>
      </c>
      <c r="H74" s="170" t="s">
        <v>39</v>
      </c>
      <c r="I74" s="394">
        <v>3923000</v>
      </c>
      <c r="J74" s="395">
        <v>93.123999999999995</v>
      </c>
      <c r="K74" s="395">
        <v>1</v>
      </c>
      <c r="L74" s="395">
        <v>0.933087</v>
      </c>
      <c r="M74" s="394">
        <v>3660501.17</v>
      </c>
      <c r="N74" s="390">
        <v>6.9530900000000003E-3</v>
      </c>
    </row>
    <row r="75" spans="1:14">
      <c r="A75" s="170" t="s">
        <v>859</v>
      </c>
      <c r="B75" s="170" t="s">
        <v>802</v>
      </c>
      <c r="C75" s="170" t="s">
        <v>1065</v>
      </c>
      <c r="D75" s="170" t="s">
        <v>567</v>
      </c>
      <c r="E75" s="170" t="s">
        <v>685</v>
      </c>
      <c r="F75" s="170" t="s">
        <v>350</v>
      </c>
      <c r="G75" s="170" t="s">
        <v>1079</v>
      </c>
      <c r="H75" s="170" t="s">
        <v>39</v>
      </c>
      <c r="I75" s="394">
        <v>1700000</v>
      </c>
      <c r="J75" s="395">
        <v>110.51300000000001</v>
      </c>
      <c r="K75" s="395">
        <v>1</v>
      </c>
      <c r="L75" s="395">
        <v>1.154712</v>
      </c>
      <c r="M75" s="394">
        <v>1963010.73</v>
      </c>
      <c r="N75" s="390">
        <v>3.72872E-3</v>
      </c>
    </row>
    <row r="76" spans="1:14">
      <c r="A76" s="170" t="s">
        <v>858</v>
      </c>
      <c r="B76" s="170" t="s">
        <v>857</v>
      </c>
      <c r="C76" s="170" t="s">
        <v>1065</v>
      </c>
      <c r="D76" s="170" t="s">
        <v>642</v>
      </c>
      <c r="E76" s="170" t="s">
        <v>287</v>
      </c>
      <c r="F76" s="170" t="s">
        <v>348</v>
      </c>
      <c r="G76" s="170" t="s">
        <v>1153</v>
      </c>
      <c r="H76" s="170" t="s">
        <v>39</v>
      </c>
      <c r="I76" s="394">
        <v>1521000</v>
      </c>
      <c r="J76" s="395">
        <v>103.633</v>
      </c>
      <c r="K76" s="395">
        <v>1</v>
      </c>
      <c r="L76" s="395">
        <v>1.055261</v>
      </c>
      <c r="M76" s="394">
        <v>1605051.31</v>
      </c>
      <c r="N76" s="390">
        <v>3.0487800000000001E-3</v>
      </c>
    </row>
    <row r="77" spans="1:14">
      <c r="A77" s="170" t="s">
        <v>855</v>
      </c>
      <c r="B77" s="170" t="s">
        <v>854</v>
      </c>
      <c r="C77" s="170" t="s">
        <v>1065</v>
      </c>
      <c r="D77" s="170" t="s">
        <v>513</v>
      </c>
      <c r="E77" s="170" t="s">
        <v>293</v>
      </c>
      <c r="F77" s="170" t="s">
        <v>452</v>
      </c>
      <c r="G77" s="170" t="s">
        <v>1152</v>
      </c>
      <c r="H77" s="170" t="s">
        <v>39</v>
      </c>
      <c r="I77" s="394">
        <v>224000</v>
      </c>
      <c r="J77" s="395">
        <v>105.095</v>
      </c>
      <c r="K77" s="395">
        <v>1</v>
      </c>
      <c r="L77" s="395">
        <v>0.981908</v>
      </c>
      <c r="M77" s="394">
        <v>219947.42</v>
      </c>
      <c r="N77" s="390">
        <v>4.1779000000000002E-4</v>
      </c>
    </row>
    <row r="78" spans="1:14">
      <c r="A78" s="170" t="s">
        <v>852</v>
      </c>
      <c r="B78" s="170" t="s">
        <v>851</v>
      </c>
      <c r="C78" s="170" t="s">
        <v>1065</v>
      </c>
      <c r="D78" s="170" t="s">
        <v>544</v>
      </c>
      <c r="E78" s="170" t="s">
        <v>499</v>
      </c>
      <c r="F78" s="170" t="s">
        <v>435</v>
      </c>
      <c r="G78" s="170" t="s">
        <v>1079</v>
      </c>
      <c r="H78" s="170" t="s">
        <v>39</v>
      </c>
      <c r="I78" s="394">
        <v>1700000</v>
      </c>
      <c r="J78" s="395">
        <v>112.855</v>
      </c>
      <c r="K78" s="395">
        <v>1</v>
      </c>
      <c r="L78" s="395">
        <v>1.131999</v>
      </c>
      <c r="M78" s="394">
        <v>1924397.67</v>
      </c>
      <c r="N78" s="390">
        <v>3.6553800000000002E-3</v>
      </c>
    </row>
    <row r="79" spans="1:14">
      <c r="A79" s="170" t="s">
        <v>850</v>
      </c>
      <c r="B79" s="170" t="s">
        <v>849</v>
      </c>
      <c r="C79" s="170" t="s">
        <v>1065</v>
      </c>
      <c r="D79" s="170" t="s">
        <v>588</v>
      </c>
      <c r="E79" s="170" t="s">
        <v>547</v>
      </c>
      <c r="F79" s="170" t="s">
        <v>342</v>
      </c>
      <c r="G79" s="170" t="s">
        <v>1151</v>
      </c>
      <c r="H79" s="170" t="s">
        <v>39</v>
      </c>
      <c r="I79" s="394">
        <v>4553000</v>
      </c>
      <c r="J79" s="395">
        <v>104.015</v>
      </c>
      <c r="K79" s="395">
        <v>1</v>
      </c>
      <c r="L79" s="395">
        <v>1.0735980000000001</v>
      </c>
      <c r="M79" s="394">
        <v>4888091.3099999996</v>
      </c>
      <c r="N79" s="390">
        <v>9.2848900000000005E-3</v>
      </c>
    </row>
    <row r="80" spans="1:14">
      <c r="A80" s="170" t="s">
        <v>847</v>
      </c>
      <c r="B80" s="170" t="s">
        <v>846</v>
      </c>
      <c r="C80" s="170" t="s">
        <v>1065</v>
      </c>
      <c r="D80" s="170" t="s">
        <v>612</v>
      </c>
      <c r="E80" s="170" t="s">
        <v>499</v>
      </c>
      <c r="F80" s="170" t="s">
        <v>407</v>
      </c>
      <c r="G80" s="170" t="s">
        <v>1150</v>
      </c>
      <c r="H80" s="170" t="s">
        <v>39</v>
      </c>
      <c r="I80" s="394">
        <v>1521000</v>
      </c>
      <c r="J80" s="395">
        <v>105.637</v>
      </c>
      <c r="K80" s="395">
        <v>1</v>
      </c>
      <c r="L80" s="395">
        <v>1.065814</v>
      </c>
      <c r="M80" s="394">
        <v>1621103.77</v>
      </c>
      <c r="N80" s="390">
        <v>3.0792699999999998E-3</v>
      </c>
    </row>
    <row r="81" spans="1:14">
      <c r="A81" s="170" t="s">
        <v>844</v>
      </c>
      <c r="B81" s="170" t="s">
        <v>843</v>
      </c>
      <c r="C81" s="170" t="s">
        <v>1065</v>
      </c>
      <c r="D81" s="170" t="s">
        <v>551</v>
      </c>
      <c r="E81" s="170" t="s">
        <v>685</v>
      </c>
      <c r="F81" s="170" t="s">
        <v>347</v>
      </c>
      <c r="G81" s="170" t="s">
        <v>1093</v>
      </c>
      <c r="H81" s="170" t="s">
        <v>39</v>
      </c>
      <c r="I81" s="394">
        <v>1400000</v>
      </c>
      <c r="J81" s="395">
        <v>113.869</v>
      </c>
      <c r="K81" s="395">
        <v>1</v>
      </c>
      <c r="L81" s="395">
        <v>1.1671659999999999</v>
      </c>
      <c r="M81" s="394">
        <v>1634031.97</v>
      </c>
      <c r="N81" s="390">
        <v>3.1038300000000001E-3</v>
      </c>
    </row>
    <row r="82" spans="1:14">
      <c r="A82" s="170" t="s">
        <v>842</v>
      </c>
      <c r="B82" s="170" t="s">
        <v>841</v>
      </c>
      <c r="C82" s="170" t="s">
        <v>1065</v>
      </c>
      <c r="D82" s="170" t="s">
        <v>551</v>
      </c>
      <c r="E82" s="170" t="s">
        <v>576</v>
      </c>
      <c r="F82" s="170" t="s">
        <v>418</v>
      </c>
      <c r="G82" s="170" t="s">
        <v>1080</v>
      </c>
      <c r="H82" s="170" t="s">
        <v>39</v>
      </c>
      <c r="I82" s="394">
        <v>269000</v>
      </c>
      <c r="J82" s="395">
        <v>105.965</v>
      </c>
      <c r="K82" s="395">
        <v>1</v>
      </c>
      <c r="L82" s="395">
        <v>1.074462</v>
      </c>
      <c r="M82" s="394">
        <v>289030.40999999997</v>
      </c>
      <c r="N82" s="390">
        <v>5.4900999999999995E-4</v>
      </c>
    </row>
    <row r="83" spans="1:14">
      <c r="A83" s="170" t="s">
        <v>840</v>
      </c>
      <c r="B83" s="170" t="s">
        <v>839</v>
      </c>
      <c r="C83" s="170" t="s">
        <v>1065</v>
      </c>
      <c r="D83" s="170" t="s">
        <v>513</v>
      </c>
      <c r="E83" s="170" t="s">
        <v>514</v>
      </c>
      <c r="F83" s="170" t="s">
        <v>481</v>
      </c>
      <c r="G83" s="170" t="s">
        <v>1149</v>
      </c>
      <c r="H83" s="170" t="s">
        <v>39</v>
      </c>
      <c r="I83" s="394">
        <v>1938000</v>
      </c>
      <c r="J83" s="395">
        <v>106.312</v>
      </c>
      <c r="K83" s="395">
        <v>1</v>
      </c>
      <c r="L83" s="395">
        <v>1.0669459999999999</v>
      </c>
      <c r="M83" s="394">
        <v>2067742.1</v>
      </c>
      <c r="N83" s="390">
        <v>3.9276600000000004E-3</v>
      </c>
    </row>
    <row r="84" spans="1:14">
      <c r="A84" s="170" t="s">
        <v>837</v>
      </c>
      <c r="B84" s="170" t="s">
        <v>836</v>
      </c>
      <c r="C84" s="170" t="s">
        <v>1065</v>
      </c>
      <c r="D84" s="170" t="s">
        <v>551</v>
      </c>
      <c r="E84" s="170" t="s">
        <v>576</v>
      </c>
      <c r="F84" s="170" t="s">
        <v>454</v>
      </c>
      <c r="G84" s="170" t="s">
        <v>1080</v>
      </c>
      <c r="H84" s="170" t="s">
        <v>39</v>
      </c>
      <c r="I84" s="394">
        <v>5189000</v>
      </c>
      <c r="J84" s="395">
        <v>103.336</v>
      </c>
      <c r="K84" s="395">
        <v>1</v>
      </c>
      <c r="L84" s="395">
        <v>1.0498179999999999</v>
      </c>
      <c r="M84" s="394">
        <v>5447507.3300000001</v>
      </c>
      <c r="N84" s="390">
        <v>1.0347490000000001E-2</v>
      </c>
    </row>
    <row r="85" spans="1:14">
      <c r="A85" s="170" t="s">
        <v>835</v>
      </c>
      <c r="B85" s="170" t="s">
        <v>834</v>
      </c>
      <c r="C85" s="170" t="s">
        <v>1065</v>
      </c>
      <c r="D85" s="170" t="s">
        <v>588</v>
      </c>
      <c r="E85" s="170" t="s">
        <v>532</v>
      </c>
      <c r="F85" s="170" t="s">
        <v>436</v>
      </c>
      <c r="G85" s="170" t="s">
        <v>1148</v>
      </c>
      <c r="H85" s="170" t="s">
        <v>39</v>
      </c>
      <c r="I85" s="394">
        <v>1900000</v>
      </c>
      <c r="J85" s="395">
        <v>105.238</v>
      </c>
      <c r="K85" s="395">
        <v>1</v>
      </c>
      <c r="L85" s="395">
        <v>1.0610569999999999</v>
      </c>
      <c r="M85" s="394">
        <v>2016008.46</v>
      </c>
      <c r="N85" s="390">
        <v>3.8293899999999998E-3</v>
      </c>
    </row>
    <row r="86" spans="1:14">
      <c r="A86" s="170" t="s">
        <v>832</v>
      </c>
      <c r="B86" s="170" t="s">
        <v>831</v>
      </c>
      <c r="C86" s="170" t="s">
        <v>1065</v>
      </c>
      <c r="D86" s="170" t="s">
        <v>575</v>
      </c>
      <c r="E86" s="170" t="s">
        <v>576</v>
      </c>
      <c r="F86" s="170" t="s">
        <v>414</v>
      </c>
      <c r="G86" s="170" t="s">
        <v>1147</v>
      </c>
      <c r="H86" s="170" t="s">
        <v>39</v>
      </c>
      <c r="I86" s="394">
        <v>2900000</v>
      </c>
      <c r="J86" s="395">
        <v>98.405000000000001</v>
      </c>
      <c r="K86" s="395">
        <v>1</v>
      </c>
      <c r="L86" s="395">
        <v>1.0164949999999999</v>
      </c>
      <c r="M86" s="394">
        <v>2947836.53</v>
      </c>
      <c r="N86" s="390">
        <v>5.5993900000000001E-3</v>
      </c>
    </row>
    <row r="87" spans="1:14">
      <c r="A87" s="170" t="s">
        <v>829</v>
      </c>
      <c r="B87" s="170" t="s">
        <v>828</v>
      </c>
      <c r="C87" s="170" t="s">
        <v>1065</v>
      </c>
      <c r="D87" s="170" t="s">
        <v>567</v>
      </c>
      <c r="E87" s="170" t="s">
        <v>499</v>
      </c>
      <c r="F87" s="170" t="s">
        <v>351</v>
      </c>
      <c r="G87" s="170" t="s">
        <v>1128</v>
      </c>
      <c r="H87" s="170" t="s">
        <v>39</v>
      </c>
      <c r="I87" s="394">
        <v>884000</v>
      </c>
      <c r="J87" s="395">
        <v>112.342</v>
      </c>
      <c r="K87" s="395">
        <v>1</v>
      </c>
      <c r="L87" s="395">
        <v>1.1242760000000001</v>
      </c>
      <c r="M87" s="394">
        <v>993859.96</v>
      </c>
      <c r="N87" s="390">
        <v>1.8878300000000001E-3</v>
      </c>
    </row>
    <row r="88" spans="1:14">
      <c r="A88" s="170" t="s">
        <v>827</v>
      </c>
      <c r="B88" s="170" t="s">
        <v>826</v>
      </c>
      <c r="C88" s="170" t="s">
        <v>1065</v>
      </c>
      <c r="D88" s="170" t="s">
        <v>513</v>
      </c>
      <c r="E88" s="170" t="s">
        <v>1146</v>
      </c>
      <c r="F88" s="170" t="s">
        <v>371</v>
      </c>
      <c r="G88" s="170" t="s">
        <v>1145</v>
      </c>
      <c r="H88" s="170" t="s">
        <v>39</v>
      </c>
      <c r="I88" s="394">
        <v>3820000</v>
      </c>
      <c r="J88" s="395">
        <v>103.262</v>
      </c>
      <c r="K88" s="395">
        <v>1</v>
      </c>
      <c r="L88" s="395">
        <v>1.038559</v>
      </c>
      <c r="M88" s="394">
        <v>3967296.17</v>
      </c>
      <c r="N88" s="390">
        <v>7.5358400000000002E-3</v>
      </c>
    </row>
    <row r="89" spans="1:14">
      <c r="A89" s="170" t="s">
        <v>824</v>
      </c>
      <c r="B89" s="170" t="s">
        <v>823</v>
      </c>
      <c r="C89" s="170" t="s">
        <v>1065</v>
      </c>
      <c r="D89" s="170" t="s">
        <v>575</v>
      </c>
      <c r="E89" s="170" t="s">
        <v>1122</v>
      </c>
      <c r="F89" s="170" t="s">
        <v>464</v>
      </c>
      <c r="G89" s="170" t="s">
        <v>1139</v>
      </c>
      <c r="H89" s="170" t="s">
        <v>39</v>
      </c>
      <c r="I89" s="394">
        <v>1325000</v>
      </c>
      <c r="J89" s="395">
        <v>102.688</v>
      </c>
      <c r="K89" s="395">
        <v>1</v>
      </c>
      <c r="L89" s="395">
        <v>1.0276860000000001</v>
      </c>
      <c r="M89" s="394">
        <v>1361683.36</v>
      </c>
      <c r="N89" s="390">
        <v>2.5865100000000002E-3</v>
      </c>
    </row>
    <row r="90" spans="1:14">
      <c r="A90" s="170" t="s">
        <v>822</v>
      </c>
      <c r="B90" s="170" t="s">
        <v>821</v>
      </c>
      <c r="C90" s="170" t="s">
        <v>1065</v>
      </c>
      <c r="D90" s="170" t="s">
        <v>508</v>
      </c>
      <c r="E90" s="170" t="s">
        <v>532</v>
      </c>
      <c r="F90" s="170" t="s">
        <v>449</v>
      </c>
      <c r="G90" s="170" t="s">
        <v>1144</v>
      </c>
      <c r="H90" s="170" t="s">
        <v>39</v>
      </c>
      <c r="I90" s="394">
        <v>1524000</v>
      </c>
      <c r="J90" s="395">
        <v>103.31</v>
      </c>
      <c r="K90" s="395">
        <v>1</v>
      </c>
      <c r="L90" s="395">
        <v>1.055301</v>
      </c>
      <c r="M90" s="394">
        <v>1608279.32</v>
      </c>
      <c r="N90" s="390">
        <v>3.0549100000000001E-3</v>
      </c>
    </row>
    <row r="91" spans="1:14">
      <c r="A91" s="170" t="s">
        <v>819</v>
      </c>
      <c r="B91" s="170" t="s">
        <v>818</v>
      </c>
      <c r="C91" s="170" t="s">
        <v>1065</v>
      </c>
      <c r="D91" s="170" t="s">
        <v>513</v>
      </c>
      <c r="E91" s="170" t="s">
        <v>514</v>
      </c>
      <c r="F91" s="170" t="s">
        <v>372</v>
      </c>
      <c r="G91" s="170" t="s">
        <v>1143</v>
      </c>
      <c r="H91" s="170" t="s">
        <v>39</v>
      </c>
      <c r="I91" s="394">
        <v>3046000</v>
      </c>
      <c r="J91" s="395">
        <v>105.19</v>
      </c>
      <c r="K91" s="395">
        <v>1</v>
      </c>
      <c r="L91" s="395">
        <v>1.0528169999999999</v>
      </c>
      <c r="M91" s="394">
        <v>3206879.57</v>
      </c>
      <c r="N91" s="390">
        <v>6.09144E-3</v>
      </c>
    </row>
    <row r="92" spans="1:14">
      <c r="A92" s="170" t="s">
        <v>816</v>
      </c>
      <c r="B92" s="170" t="s">
        <v>815</v>
      </c>
      <c r="C92" s="170" t="s">
        <v>1065</v>
      </c>
      <c r="D92" s="170" t="s">
        <v>544</v>
      </c>
      <c r="E92" s="170" t="s">
        <v>814</v>
      </c>
      <c r="F92" s="170" t="s">
        <v>474</v>
      </c>
      <c r="G92" s="170" t="s">
        <v>1142</v>
      </c>
      <c r="H92" s="170" t="s">
        <v>39</v>
      </c>
      <c r="I92" s="394">
        <v>2124000</v>
      </c>
      <c r="J92" s="395">
        <v>110.434</v>
      </c>
      <c r="K92" s="395">
        <v>1</v>
      </c>
      <c r="L92" s="395">
        <v>1.1386959999999999</v>
      </c>
      <c r="M92" s="394">
        <v>2418590.65</v>
      </c>
      <c r="N92" s="390">
        <v>4.5940900000000003E-3</v>
      </c>
    </row>
    <row r="93" spans="1:14">
      <c r="A93" s="170" t="s">
        <v>811</v>
      </c>
      <c r="B93" s="170" t="s">
        <v>810</v>
      </c>
      <c r="C93" s="170" t="s">
        <v>1065</v>
      </c>
      <c r="D93" s="170" t="s">
        <v>524</v>
      </c>
      <c r="E93" s="170" t="s">
        <v>514</v>
      </c>
      <c r="F93" s="170" t="s">
        <v>438</v>
      </c>
      <c r="G93" s="170" t="s">
        <v>1141</v>
      </c>
      <c r="H93" s="170" t="s">
        <v>39</v>
      </c>
      <c r="I93" s="394">
        <v>3629000</v>
      </c>
      <c r="J93" s="395">
        <v>110.95099999999999</v>
      </c>
      <c r="K93" s="395">
        <v>1</v>
      </c>
      <c r="L93" s="395">
        <v>1.129238</v>
      </c>
      <c r="M93" s="394">
        <v>4098005.65</v>
      </c>
      <c r="N93" s="390">
        <v>7.7841300000000002E-3</v>
      </c>
    </row>
    <row r="94" spans="1:14">
      <c r="A94" s="170" t="s">
        <v>808</v>
      </c>
      <c r="B94" s="170" t="s">
        <v>807</v>
      </c>
      <c r="C94" s="170" t="s">
        <v>1065</v>
      </c>
      <c r="D94" s="170" t="s">
        <v>508</v>
      </c>
      <c r="E94" s="170" t="s">
        <v>287</v>
      </c>
      <c r="F94" s="170" t="s">
        <v>396</v>
      </c>
      <c r="G94" s="170" t="s">
        <v>1140</v>
      </c>
      <c r="H94" s="170" t="s">
        <v>39</v>
      </c>
      <c r="I94" s="394">
        <v>5425000</v>
      </c>
      <c r="J94" s="395">
        <v>104.313</v>
      </c>
      <c r="K94" s="395">
        <v>1</v>
      </c>
      <c r="L94" s="395">
        <v>0.94662599999999997</v>
      </c>
      <c r="M94" s="394">
        <v>5135448.08</v>
      </c>
      <c r="N94" s="390">
        <v>9.7547399999999996E-3</v>
      </c>
    </row>
    <row r="95" spans="1:14">
      <c r="A95" s="170" t="s">
        <v>805</v>
      </c>
      <c r="B95" s="170" t="s">
        <v>804</v>
      </c>
      <c r="C95" s="170" t="s">
        <v>1065</v>
      </c>
      <c r="D95" s="170" t="s">
        <v>551</v>
      </c>
      <c r="E95" s="170" t="s">
        <v>293</v>
      </c>
      <c r="F95" s="170" t="s">
        <v>431</v>
      </c>
      <c r="G95" s="170" t="s">
        <v>1083</v>
      </c>
      <c r="H95" s="170" t="s">
        <v>39</v>
      </c>
      <c r="I95" s="394">
        <v>3559000</v>
      </c>
      <c r="J95" s="395">
        <v>107.989</v>
      </c>
      <c r="K95" s="395">
        <v>1</v>
      </c>
      <c r="L95" s="395">
        <v>1.0906089999999999</v>
      </c>
      <c r="M95" s="394">
        <v>3881476.54</v>
      </c>
      <c r="N95" s="390">
        <v>7.3728300000000004E-3</v>
      </c>
    </row>
    <row r="96" spans="1:14">
      <c r="A96" s="170" t="s">
        <v>803</v>
      </c>
      <c r="B96" s="170" t="s">
        <v>802</v>
      </c>
      <c r="C96" s="170" t="s">
        <v>1065</v>
      </c>
      <c r="D96" s="170" t="s">
        <v>567</v>
      </c>
      <c r="E96" s="170" t="s">
        <v>685</v>
      </c>
      <c r="F96" s="170" t="s">
        <v>350</v>
      </c>
      <c r="G96" s="170" t="s">
        <v>1079</v>
      </c>
      <c r="H96" s="170" t="s">
        <v>39</v>
      </c>
      <c r="I96" s="394">
        <v>3800000</v>
      </c>
      <c r="J96" s="395">
        <v>104.935</v>
      </c>
      <c r="K96" s="395">
        <v>1</v>
      </c>
      <c r="L96" s="395">
        <v>1.066843</v>
      </c>
      <c r="M96" s="394">
        <v>4054003.37</v>
      </c>
      <c r="N96" s="390">
        <v>7.7005399999999996E-3</v>
      </c>
    </row>
    <row r="97" spans="1:14">
      <c r="A97" s="170" t="s">
        <v>522</v>
      </c>
      <c r="B97" s="170" t="s">
        <v>521</v>
      </c>
      <c r="C97" s="170" t="s">
        <v>1065</v>
      </c>
      <c r="D97" s="170" t="s">
        <v>508</v>
      </c>
      <c r="E97" s="170" t="s">
        <v>287</v>
      </c>
      <c r="F97" s="170" t="s">
        <v>404</v>
      </c>
      <c r="G97" s="170" t="s">
        <v>1139</v>
      </c>
      <c r="H97" s="170" t="s">
        <v>39</v>
      </c>
      <c r="I97" s="394">
        <v>847000</v>
      </c>
      <c r="J97" s="395">
        <v>100.539</v>
      </c>
      <c r="K97" s="395">
        <v>1</v>
      </c>
      <c r="L97" s="395">
        <v>1.012842</v>
      </c>
      <c r="M97" s="394">
        <v>857877.24</v>
      </c>
      <c r="N97" s="390">
        <v>1.6295299999999999E-3</v>
      </c>
    </row>
    <row r="98" spans="1:14">
      <c r="A98" s="170" t="s">
        <v>801</v>
      </c>
      <c r="B98" s="170" t="s">
        <v>800</v>
      </c>
      <c r="C98" s="170" t="s">
        <v>1065</v>
      </c>
      <c r="D98" s="170" t="s">
        <v>513</v>
      </c>
      <c r="E98" s="170" t="s">
        <v>293</v>
      </c>
      <c r="F98" s="170" t="s">
        <v>452</v>
      </c>
      <c r="G98" s="170" t="s">
        <v>1138</v>
      </c>
      <c r="H98" s="170" t="s">
        <v>39</v>
      </c>
      <c r="I98" s="394">
        <v>4897000</v>
      </c>
      <c r="J98" s="395">
        <v>104.886</v>
      </c>
      <c r="K98" s="395">
        <v>1</v>
      </c>
      <c r="L98" s="395">
        <v>1.068541</v>
      </c>
      <c r="M98" s="394">
        <v>5232643.0999999996</v>
      </c>
      <c r="N98" s="390">
        <v>9.9393599999999995E-3</v>
      </c>
    </row>
    <row r="99" spans="1:14">
      <c r="A99" s="170" t="s">
        <v>798</v>
      </c>
      <c r="B99" s="170" t="s">
        <v>797</v>
      </c>
      <c r="C99" s="170" t="s">
        <v>1065</v>
      </c>
      <c r="D99" s="170" t="s">
        <v>508</v>
      </c>
      <c r="E99" s="170" t="s">
        <v>287</v>
      </c>
      <c r="F99" s="170" t="s">
        <v>422</v>
      </c>
      <c r="G99" s="170" t="s">
        <v>1137</v>
      </c>
      <c r="H99" s="170" t="s">
        <v>39</v>
      </c>
      <c r="I99" s="394">
        <v>1490000</v>
      </c>
      <c r="J99" s="395">
        <v>104.512</v>
      </c>
      <c r="K99" s="395">
        <v>1</v>
      </c>
      <c r="L99" s="395">
        <v>1.0456829999999999</v>
      </c>
      <c r="M99" s="394">
        <v>1558066.93</v>
      </c>
      <c r="N99" s="390">
        <v>2.9595300000000001E-3</v>
      </c>
    </row>
    <row r="100" spans="1:14">
      <c r="A100" s="170" t="s">
        <v>795</v>
      </c>
      <c r="B100" s="170" t="s">
        <v>794</v>
      </c>
      <c r="C100" s="170" t="s">
        <v>1065</v>
      </c>
      <c r="D100" s="170" t="s">
        <v>575</v>
      </c>
      <c r="E100" s="170" t="s">
        <v>1122</v>
      </c>
      <c r="F100" s="170" t="s">
        <v>464</v>
      </c>
      <c r="G100" s="170" t="s">
        <v>1136</v>
      </c>
      <c r="H100" s="170" t="s">
        <v>39</v>
      </c>
      <c r="I100" s="394">
        <v>1269000</v>
      </c>
      <c r="J100" s="395">
        <v>102.60599999999999</v>
      </c>
      <c r="K100" s="395">
        <v>1</v>
      </c>
      <c r="L100" s="395">
        <v>1.0563929999999999</v>
      </c>
      <c r="M100" s="394">
        <v>1340563.1399999999</v>
      </c>
      <c r="N100" s="390">
        <v>2.5463899999999999E-3</v>
      </c>
    </row>
    <row r="101" spans="1:14">
      <c r="A101" s="170" t="s">
        <v>792</v>
      </c>
      <c r="B101" s="170" t="s">
        <v>791</v>
      </c>
      <c r="C101" s="170" t="s">
        <v>1065</v>
      </c>
      <c r="D101" s="170" t="s">
        <v>544</v>
      </c>
      <c r="E101" s="170" t="s">
        <v>499</v>
      </c>
      <c r="F101" s="170" t="s">
        <v>435</v>
      </c>
      <c r="G101" s="170" t="s">
        <v>1079</v>
      </c>
      <c r="H101" s="170" t="s">
        <v>39</v>
      </c>
      <c r="I101" s="394">
        <v>1582000</v>
      </c>
      <c r="J101" s="395">
        <v>103.655</v>
      </c>
      <c r="K101" s="395">
        <v>1</v>
      </c>
      <c r="L101" s="395">
        <v>1.0455289999999999</v>
      </c>
      <c r="M101" s="394">
        <v>1654027.59</v>
      </c>
      <c r="N101" s="390">
        <v>3.1418100000000001E-3</v>
      </c>
    </row>
    <row r="102" spans="1:14">
      <c r="A102" s="170" t="s">
        <v>790</v>
      </c>
      <c r="B102" s="170" t="s">
        <v>789</v>
      </c>
      <c r="C102" s="170" t="s">
        <v>1065</v>
      </c>
      <c r="D102" s="170" t="s">
        <v>544</v>
      </c>
      <c r="E102" s="170" t="s">
        <v>685</v>
      </c>
      <c r="F102" s="170" t="s">
        <v>349</v>
      </c>
      <c r="G102" s="170" t="s">
        <v>1079</v>
      </c>
      <c r="H102" s="170" t="s">
        <v>39</v>
      </c>
      <c r="I102" s="394">
        <v>2010000</v>
      </c>
      <c r="J102" s="395">
        <v>103.169</v>
      </c>
      <c r="K102" s="395">
        <v>1</v>
      </c>
      <c r="L102" s="395">
        <v>1.0498540000000001</v>
      </c>
      <c r="M102" s="394">
        <v>2110207.31</v>
      </c>
      <c r="N102" s="390">
        <v>4.0083200000000001E-3</v>
      </c>
    </row>
    <row r="103" spans="1:14">
      <c r="A103" s="170" t="s">
        <v>788</v>
      </c>
      <c r="B103" s="170" t="s">
        <v>787</v>
      </c>
      <c r="C103" s="170" t="s">
        <v>1065</v>
      </c>
      <c r="D103" s="170" t="s">
        <v>508</v>
      </c>
      <c r="E103" s="170" t="s">
        <v>576</v>
      </c>
      <c r="F103" s="170" t="s">
        <v>448</v>
      </c>
      <c r="G103" s="170" t="s">
        <v>1085</v>
      </c>
      <c r="H103" s="170" t="s">
        <v>39</v>
      </c>
      <c r="I103" s="394">
        <v>3212000</v>
      </c>
      <c r="J103" s="395">
        <v>104.075</v>
      </c>
      <c r="K103" s="395">
        <v>1</v>
      </c>
      <c r="L103" s="395">
        <v>1.060052</v>
      </c>
      <c r="M103" s="394">
        <v>3404887.29</v>
      </c>
      <c r="N103" s="390">
        <v>6.4675499999999999E-3</v>
      </c>
    </row>
    <row r="104" spans="1:14">
      <c r="A104" s="170" t="s">
        <v>786</v>
      </c>
      <c r="B104" s="170" t="s">
        <v>785</v>
      </c>
      <c r="C104" s="170" t="s">
        <v>1065</v>
      </c>
      <c r="D104" s="170" t="s">
        <v>567</v>
      </c>
      <c r="E104" s="170" t="s">
        <v>514</v>
      </c>
      <c r="F104" s="170" t="s">
        <v>459</v>
      </c>
      <c r="G104" s="170" t="s">
        <v>1135</v>
      </c>
      <c r="H104" s="170" t="s">
        <v>39</v>
      </c>
      <c r="I104" s="394">
        <v>1800000</v>
      </c>
      <c r="J104" s="395">
        <v>105.039</v>
      </c>
      <c r="K104" s="395">
        <v>1</v>
      </c>
      <c r="L104" s="395">
        <v>1.093215</v>
      </c>
      <c r="M104" s="394">
        <v>1967787.62</v>
      </c>
      <c r="N104" s="390">
        <v>3.7377999999999999E-3</v>
      </c>
    </row>
    <row r="105" spans="1:14">
      <c r="A105" s="170" t="s">
        <v>783</v>
      </c>
      <c r="B105" s="170" t="s">
        <v>782</v>
      </c>
      <c r="C105" s="170" t="s">
        <v>1065</v>
      </c>
      <c r="D105" s="170" t="s">
        <v>567</v>
      </c>
      <c r="E105" s="170" t="s">
        <v>514</v>
      </c>
      <c r="F105" s="170" t="s">
        <v>339</v>
      </c>
      <c r="G105" s="170" t="s">
        <v>1134</v>
      </c>
      <c r="H105" s="170" t="s">
        <v>39</v>
      </c>
      <c r="I105" s="394">
        <v>1850000</v>
      </c>
      <c r="J105" s="395">
        <v>103.598</v>
      </c>
      <c r="K105" s="395">
        <v>1</v>
      </c>
      <c r="L105" s="395">
        <v>1.0530390000000001</v>
      </c>
      <c r="M105" s="394">
        <v>1948122.94</v>
      </c>
      <c r="N105" s="390">
        <v>3.7004400000000002E-3</v>
      </c>
    </row>
    <row r="106" spans="1:14">
      <c r="A106" s="170" t="s">
        <v>780</v>
      </c>
      <c r="B106" s="170" t="s">
        <v>779</v>
      </c>
      <c r="C106" s="170" t="s">
        <v>1065</v>
      </c>
      <c r="D106" s="170" t="s">
        <v>567</v>
      </c>
      <c r="E106" s="170" t="s">
        <v>287</v>
      </c>
      <c r="F106" s="170" t="s">
        <v>429</v>
      </c>
      <c r="G106" s="170" t="s">
        <v>1133</v>
      </c>
      <c r="H106" s="170" t="s">
        <v>39</v>
      </c>
      <c r="I106" s="394">
        <v>3520000</v>
      </c>
      <c r="J106" s="395">
        <v>108.78400000000001</v>
      </c>
      <c r="K106" s="395">
        <v>1</v>
      </c>
      <c r="L106" s="395">
        <v>1.118025</v>
      </c>
      <c r="M106" s="394">
        <v>3935447.76</v>
      </c>
      <c r="N106" s="390">
        <v>7.4753500000000004E-3</v>
      </c>
    </row>
    <row r="107" spans="1:14">
      <c r="A107" s="170" t="s">
        <v>777</v>
      </c>
      <c r="B107" s="170" t="s">
        <v>776</v>
      </c>
      <c r="C107" s="170" t="s">
        <v>1065</v>
      </c>
      <c r="D107" s="170" t="s">
        <v>551</v>
      </c>
      <c r="E107" s="170" t="s">
        <v>499</v>
      </c>
      <c r="F107" s="170" t="s">
        <v>389</v>
      </c>
      <c r="G107" s="170" t="s">
        <v>1132</v>
      </c>
      <c r="H107" s="170" t="s">
        <v>39</v>
      </c>
      <c r="I107" s="394">
        <v>1811000</v>
      </c>
      <c r="J107" s="395">
        <v>105.307</v>
      </c>
      <c r="K107" s="395">
        <v>1</v>
      </c>
      <c r="L107" s="395">
        <v>1.0746789999999999</v>
      </c>
      <c r="M107" s="394">
        <v>1946242.96</v>
      </c>
      <c r="N107" s="390">
        <v>3.6968700000000001E-3</v>
      </c>
    </row>
    <row r="108" spans="1:14">
      <c r="A108" s="170" t="s">
        <v>774</v>
      </c>
      <c r="B108" s="170" t="s">
        <v>773</v>
      </c>
      <c r="C108" s="170" t="s">
        <v>1065</v>
      </c>
      <c r="D108" s="170" t="s">
        <v>622</v>
      </c>
      <c r="E108" s="170" t="s">
        <v>293</v>
      </c>
      <c r="F108" s="170" t="s">
        <v>469</v>
      </c>
      <c r="G108" s="170" t="s">
        <v>1079</v>
      </c>
      <c r="H108" s="170" t="s">
        <v>39</v>
      </c>
      <c r="I108" s="394">
        <v>4800000</v>
      </c>
      <c r="J108" s="395">
        <v>93.974000000000004</v>
      </c>
      <c r="K108" s="395">
        <v>1</v>
      </c>
      <c r="L108" s="395">
        <v>0.94234300000000004</v>
      </c>
      <c r="M108" s="394">
        <v>4523245.1500000004</v>
      </c>
      <c r="N108" s="390">
        <v>8.5918599999999998E-3</v>
      </c>
    </row>
    <row r="109" spans="1:14">
      <c r="A109" s="170" t="s">
        <v>772</v>
      </c>
      <c r="B109" s="170" t="s">
        <v>771</v>
      </c>
      <c r="C109" s="170" t="s">
        <v>1065</v>
      </c>
      <c r="D109" s="170" t="s">
        <v>622</v>
      </c>
      <c r="E109" s="170" t="s">
        <v>514</v>
      </c>
      <c r="F109" s="170" t="s">
        <v>482</v>
      </c>
      <c r="G109" s="170" t="s">
        <v>1131</v>
      </c>
      <c r="H109" s="170" t="s">
        <v>39</v>
      </c>
      <c r="I109" s="394">
        <v>1498000</v>
      </c>
      <c r="J109" s="395">
        <v>110.27800000000001</v>
      </c>
      <c r="K109" s="395">
        <v>1</v>
      </c>
      <c r="L109" s="395">
        <v>1.103947</v>
      </c>
      <c r="M109" s="394">
        <v>1653712.11</v>
      </c>
      <c r="N109" s="390">
        <v>3.1412100000000002E-3</v>
      </c>
    </row>
    <row r="110" spans="1:14">
      <c r="A110" s="170" t="s">
        <v>769</v>
      </c>
      <c r="B110" s="170" t="s">
        <v>768</v>
      </c>
      <c r="C110" s="170" t="s">
        <v>1065</v>
      </c>
      <c r="D110" s="170" t="s">
        <v>567</v>
      </c>
      <c r="E110" s="170" t="s">
        <v>499</v>
      </c>
      <c r="F110" s="170" t="s">
        <v>379</v>
      </c>
      <c r="G110" s="170" t="s">
        <v>1130</v>
      </c>
      <c r="H110" s="170" t="s">
        <v>39</v>
      </c>
      <c r="I110" s="394">
        <v>1900000</v>
      </c>
      <c r="J110" s="395">
        <v>116.343</v>
      </c>
      <c r="K110" s="395">
        <v>1</v>
      </c>
      <c r="L110" s="395">
        <v>1.204197</v>
      </c>
      <c r="M110" s="394">
        <v>2287974.5299999998</v>
      </c>
      <c r="N110" s="390">
        <v>4.3459900000000001E-3</v>
      </c>
    </row>
    <row r="111" spans="1:14">
      <c r="A111" s="170" t="s">
        <v>766</v>
      </c>
      <c r="B111" s="170" t="s">
        <v>765</v>
      </c>
      <c r="C111" s="170" t="s">
        <v>1065</v>
      </c>
      <c r="D111" s="170" t="s">
        <v>567</v>
      </c>
      <c r="E111" s="170" t="s">
        <v>499</v>
      </c>
      <c r="F111" s="170" t="s">
        <v>379</v>
      </c>
      <c r="G111" s="170" t="s">
        <v>1129</v>
      </c>
      <c r="H111" s="170" t="s">
        <v>39</v>
      </c>
      <c r="I111" s="394">
        <v>661000</v>
      </c>
      <c r="J111" s="395">
        <v>107.63500000000001</v>
      </c>
      <c r="K111" s="395">
        <v>1</v>
      </c>
      <c r="L111" s="395">
        <v>1.108636</v>
      </c>
      <c r="M111" s="394">
        <v>732808.34</v>
      </c>
      <c r="N111" s="390">
        <v>1.39196E-3</v>
      </c>
    </row>
    <row r="112" spans="1:14">
      <c r="A112" s="170" t="s">
        <v>763</v>
      </c>
      <c r="B112" s="170" t="s">
        <v>762</v>
      </c>
      <c r="C112" s="170" t="s">
        <v>1065</v>
      </c>
      <c r="D112" s="170" t="s">
        <v>567</v>
      </c>
      <c r="E112" s="170" t="s">
        <v>499</v>
      </c>
      <c r="F112" s="170" t="s">
        <v>379</v>
      </c>
      <c r="G112" s="170" t="s">
        <v>1128</v>
      </c>
      <c r="H112" s="170" t="s">
        <v>39</v>
      </c>
      <c r="I112" s="394">
        <v>1276000</v>
      </c>
      <c r="J112" s="395">
        <v>111.37</v>
      </c>
      <c r="K112" s="395">
        <v>1</v>
      </c>
      <c r="L112" s="395">
        <v>1.1145560000000001</v>
      </c>
      <c r="M112" s="394">
        <v>1422173.43</v>
      </c>
      <c r="N112" s="390">
        <v>2.70141E-3</v>
      </c>
    </row>
    <row r="113" spans="1:14">
      <c r="A113" s="170" t="s">
        <v>759</v>
      </c>
      <c r="B113" s="170" t="s">
        <v>758</v>
      </c>
      <c r="C113" s="170" t="s">
        <v>1065</v>
      </c>
      <c r="D113" s="170" t="s">
        <v>612</v>
      </c>
      <c r="E113" s="170" t="s">
        <v>514</v>
      </c>
      <c r="F113" s="170" t="s">
        <v>353</v>
      </c>
      <c r="G113" s="170" t="s">
        <v>1127</v>
      </c>
      <c r="H113" s="170" t="s">
        <v>39</v>
      </c>
      <c r="I113" s="394">
        <v>2435000</v>
      </c>
      <c r="J113" s="395">
        <v>92.65</v>
      </c>
      <c r="K113" s="395">
        <v>1</v>
      </c>
      <c r="L113" s="395">
        <v>0.94534700000000005</v>
      </c>
      <c r="M113" s="394">
        <v>2301920.4900000002</v>
      </c>
      <c r="N113" s="390">
        <v>4.3724799999999998E-3</v>
      </c>
    </row>
    <row r="114" spans="1:14">
      <c r="A114" s="170" t="s">
        <v>756</v>
      </c>
      <c r="B114" s="170" t="s">
        <v>755</v>
      </c>
      <c r="C114" s="170" t="s">
        <v>1065</v>
      </c>
      <c r="D114" s="170" t="s">
        <v>508</v>
      </c>
      <c r="E114" s="170" t="s">
        <v>685</v>
      </c>
      <c r="F114" s="170" t="s">
        <v>461</v>
      </c>
      <c r="G114" s="170" t="s">
        <v>1080</v>
      </c>
      <c r="H114" s="170" t="s">
        <v>39</v>
      </c>
      <c r="I114" s="394">
        <v>2282000</v>
      </c>
      <c r="J114" s="395">
        <v>104.535</v>
      </c>
      <c r="K114" s="395">
        <v>1</v>
      </c>
      <c r="L114" s="395">
        <v>1.057968</v>
      </c>
      <c r="M114" s="394">
        <v>2414283.1</v>
      </c>
      <c r="N114" s="390">
        <v>4.5859100000000003E-3</v>
      </c>
    </row>
    <row r="115" spans="1:14">
      <c r="A115" s="170" t="s">
        <v>754</v>
      </c>
      <c r="B115" s="170" t="s">
        <v>753</v>
      </c>
      <c r="C115" s="170" t="s">
        <v>1065</v>
      </c>
      <c r="D115" s="170" t="s">
        <v>567</v>
      </c>
      <c r="E115" s="170" t="s">
        <v>287</v>
      </c>
      <c r="F115" s="170" t="s">
        <v>393</v>
      </c>
      <c r="G115" s="170" t="s">
        <v>1089</v>
      </c>
      <c r="H115" s="170" t="s">
        <v>39</v>
      </c>
      <c r="I115" s="394">
        <v>4119000</v>
      </c>
      <c r="J115" s="395">
        <v>107.568</v>
      </c>
      <c r="K115" s="395">
        <v>1</v>
      </c>
      <c r="L115" s="395">
        <v>1.0964959999999999</v>
      </c>
      <c r="M115" s="394">
        <v>4516466.91</v>
      </c>
      <c r="N115" s="390">
        <v>8.5789899999999999E-3</v>
      </c>
    </row>
    <row r="116" spans="1:14">
      <c r="A116" s="170" t="s">
        <v>752</v>
      </c>
      <c r="B116" s="170" t="s">
        <v>751</v>
      </c>
      <c r="C116" s="170" t="s">
        <v>1065</v>
      </c>
      <c r="D116" s="170" t="s">
        <v>575</v>
      </c>
      <c r="E116" s="170" t="s">
        <v>547</v>
      </c>
      <c r="F116" s="170" t="s">
        <v>336</v>
      </c>
      <c r="G116" s="170" t="s">
        <v>1126</v>
      </c>
      <c r="H116" s="170" t="s">
        <v>39</v>
      </c>
      <c r="I116" s="394">
        <v>967000</v>
      </c>
      <c r="J116" s="395">
        <v>102.556</v>
      </c>
      <c r="K116" s="395">
        <v>1</v>
      </c>
      <c r="L116" s="395">
        <v>1.037012</v>
      </c>
      <c r="M116" s="394">
        <v>1002790.66</v>
      </c>
      <c r="N116" s="390">
        <v>1.90479E-3</v>
      </c>
    </row>
    <row r="117" spans="1:14">
      <c r="A117" s="170" t="s">
        <v>749</v>
      </c>
      <c r="B117" s="170" t="s">
        <v>748</v>
      </c>
      <c r="C117" s="170" t="s">
        <v>1065</v>
      </c>
      <c r="D117" s="170" t="s">
        <v>513</v>
      </c>
      <c r="E117" s="170" t="s">
        <v>499</v>
      </c>
      <c r="F117" s="170" t="s">
        <v>397</v>
      </c>
      <c r="G117" s="170" t="s">
        <v>1125</v>
      </c>
      <c r="H117" s="170" t="s">
        <v>39</v>
      </c>
      <c r="I117" s="394">
        <v>1000000</v>
      </c>
      <c r="J117" s="395">
        <v>104.221</v>
      </c>
      <c r="K117" s="395">
        <v>1</v>
      </c>
      <c r="L117" s="395">
        <v>1.0516160000000001</v>
      </c>
      <c r="M117" s="394">
        <v>1051616.25</v>
      </c>
      <c r="N117" s="390">
        <v>1.9975399999999999E-3</v>
      </c>
    </row>
    <row r="118" spans="1:14">
      <c r="A118" s="170" t="s">
        <v>746</v>
      </c>
      <c r="B118" s="170" t="s">
        <v>745</v>
      </c>
      <c r="C118" s="170" t="s">
        <v>1065</v>
      </c>
      <c r="D118" s="170" t="s">
        <v>567</v>
      </c>
      <c r="E118" s="170" t="s">
        <v>685</v>
      </c>
      <c r="F118" s="170" t="s">
        <v>402</v>
      </c>
      <c r="G118" s="170" t="s">
        <v>1079</v>
      </c>
      <c r="H118" s="170" t="s">
        <v>39</v>
      </c>
      <c r="I118" s="394">
        <v>3597000</v>
      </c>
      <c r="J118" s="395">
        <v>104.661</v>
      </c>
      <c r="K118" s="395">
        <v>1</v>
      </c>
      <c r="L118" s="395">
        <v>1.08935</v>
      </c>
      <c r="M118" s="394">
        <v>3918390.96</v>
      </c>
      <c r="N118" s="390">
        <v>7.4429500000000003E-3</v>
      </c>
    </row>
    <row r="119" spans="1:14">
      <c r="A119" s="170" t="s">
        <v>744</v>
      </c>
      <c r="B119" s="170" t="s">
        <v>743</v>
      </c>
      <c r="C119" s="170" t="s">
        <v>1065</v>
      </c>
      <c r="D119" s="170" t="s">
        <v>588</v>
      </c>
      <c r="E119" s="170" t="s">
        <v>685</v>
      </c>
      <c r="F119" s="170" t="s">
        <v>382</v>
      </c>
      <c r="G119" s="170" t="s">
        <v>1124</v>
      </c>
      <c r="H119" s="170" t="s">
        <v>39</v>
      </c>
      <c r="I119" s="394">
        <v>2450000</v>
      </c>
      <c r="J119" s="395">
        <v>103.863</v>
      </c>
      <c r="K119" s="395">
        <v>1</v>
      </c>
      <c r="L119" s="395">
        <v>1.0478179999999999</v>
      </c>
      <c r="M119" s="394">
        <v>2567152.88</v>
      </c>
      <c r="N119" s="390">
        <v>4.8762800000000002E-3</v>
      </c>
    </row>
    <row r="120" spans="1:14">
      <c r="A120" s="170" t="s">
        <v>741</v>
      </c>
      <c r="B120" s="170" t="s">
        <v>740</v>
      </c>
      <c r="C120" s="170" t="s">
        <v>1065</v>
      </c>
      <c r="D120" s="170" t="s">
        <v>697</v>
      </c>
      <c r="E120" s="170" t="s">
        <v>685</v>
      </c>
      <c r="F120" s="170" t="s">
        <v>363</v>
      </c>
      <c r="G120" s="170" t="s">
        <v>1123</v>
      </c>
      <c r="H120" s="170" t="s">
        <v>39</v>
      </c>
      <c r="I120" s="394">
        <v>3007000</v>
      </c>
      <c r="J120" s="395">
        <v>106.691</v>
      </c>
      <c r="K120" s="395">
        <v>1</v>
      </c>
      <c r="L120" s="395">
        <v>1.075725</v>
      </c>
      <c r="M120" s="394">
        <v>3234705.28</v>
      </c>
      <c r="N120" s="390">
        <v>6.1442900000000002E-3</v>
      </c>
    </row>
    <row r="121" spans="1:14">
      <c r="A121" s="170" t="s">
        <v>738</v>
      </c>
      <c r="B121" s="170" t="s">
        <v>737</v>
      </c>
      <c r="C121" s="170" t="s">
        <v>1065</v>
      </c>
      <c r="D121" s="170" t="s">
        <v>567</v>
      </c>
      <c r="E121" s="170" t="s">
        <v>293</v>
      </c>
      <c r="F121" s="170" t="s">
        <v>370</v>
      </c>
      <c r="G121" s="170" t="s">
        <v>1077</v>
      </c>
      <c r="H121" s="170" t="s">
        <v>39</v>
      </c>
      <c r="I121" s="394">
        <v>5447000</v>
      </c>
      <c r="J121" s="395">
        <v>104.283</v>
      </c>
      <c r="K121" s="395">
        <v>1</v>
      </c>
      <c r="L121" s="395">
        <v>1.0510489999999999</v>
      </c>
      <c r="M121" s="394">
        <v>5725064.8700000001</v>
      </c>
      <c r="N121" s="390">
        <v>1.0874709999999999E-2</v>
      </c>
    </row>
    <row r="122" spans="1:14">
      <c r="A122" s="170" t="s">
        <v>519</v>
      </c>
      <c r="B122" s="170" t="s">
        <v>518</v>
      </c>
      <c r="C122" s="170" t="s">
        <v>1065</v>
      </c>
      <c r="D122" s="170" t="s">
        <v>508</v>
      </c>
      <c r="E122" s="170" t="s">
        <v>685</v>
      </c>
      <c r="F122" s="170" t="s">
        <v>409</v>
      </c>
      <c r="G122" s="170" t="s">
        <v>1077</v>
      </c>
      <c r="H122" s="170" t="s">
        <v>39</v>
      </c>
      <c r="I122" s="394">
        <v>2029000</v>
      </c>
      <c r="J122" s="395">
        <v>100.23699999999999</v>
      </c>
      <c r="K122" s="395">
        <v>1</v>
      </c>
      <c r="L122" s="395">
        <v>1.0098009999999999</v>
      </c>
      <c r="M122" s="394">
        <v>2048885.33</v>
      </c>
      <c r="N122" s="390">
        <v>3.8918400000000001E-3</v>
      </c>
    </row>
    <row r="123" spans="1:14">
      <c r="A123" s="170" t="s">
        <v>516</v>
      </c>
      <c r="B123" s="170" t="s">
        <v>515</v>
      </c>
      <c r="C123" s="170" t="s">
        <v>1065</v>
      </c>
      <c r="D123" s="170" t="s">
        <v>513</v>
      </c>
      <c r="E123" s="170" t="s">
        <v>1122</v>
      </c>
      <c r="F123" s="170" t="s">
        <v>346</v>
      </c>
      <c r="G123" s="170" t="s">
        <v>1121</v>
      </c>
      <c r="H123" s="170" t="s">
        <v>39</v>
      </c>
      <c r="I123" s="394">
        <v>2224000</v>
      </c>
      <c r="J123" s="395">
        <v>97.164000000000001</v>
      </c>
      <c r="K123" s="395">
        <v>1</v>
      </c>
      <c r="L123" s="395">
        <v>0.97713499999999998</v>
      </c>
      <c r="M123" s="394">
        <v>2173147.17</v>
      </c>
      <c r="N123" s="390">
        <v>4.1278699999999996E-3</v>
      </c>
    </row>
    <row r="124" spans="1:14">
      <c r="A124" s="170" t="s">
        <v>736</v>
      </c>
      <c r="B124" s="170" t="s">
        <v>735</v>
      </c>
      <c r="C124" s="170" t="s">
        <v>1065</v>
      </c>
      <c r="D124" s="170" t="s">
        <v>642</v>
      </c>
      <c r="E124" s="170" t="s">
        <v>287</v>
      </c>
      <c r="F124" s="170" t="s">
        <v>373</v>
      </c>
      <c r="G124" s="170" t="s">
        <v>1120</v>
      </c>
      <c r="H124" s="170" t="s">
        <v>39</v>
      </c>
      <c r="I124" s="394">
        <v>953000</v>
      </c>
      <c r="J124" s="395">
        <v>104.80200000000001</v>
      </c>
      <c r="K124" s="395">
        <v>1</v>
      </c>
      <c r="L124" s="395">
        <v>1.0538639999999999</v>
      </c>
      <c r="M124" s="394">
        <v>1004332.15</v>
      </c>
      <c r="N124" s="390">
        <v>1.9077199999999999E-3</v>
      </c>
    </row>
    <row r="125" spans="1:14">
      <c r="A125" s="170" t="s">
        <v>733</v>
      </c>
      <c r="B125" s="170" t="s">
        <v>732</v>
      </c>
      <c r="C125" s="170" t="s">
        <v>1065</v>
      </c>
      <c r="D125" s="170" t="s">
        <v>551</v>
      </c>
      <c r="E125" s="170" t="s">
        <v>532</v>
      </c>
      <c r="F125" s="170" t="s">
        <v>367</v>
      </c>
      <c r="G125" s="170" t="s">
        <v>1118</v>
      </c>
      <c r="H125" s="170" t="s">
        <v>39</v>
      </c>
      <c r="I125" s="394">
        <v>4159000</v>
      </c>
      <c r="J125" s="395">
        <v>102.861</v>
      </c>
      <c r="K125" s="395">
        <v>1</v>
      </c>
      <c r="L125" s="395">
        <v>1.032143</v>
      </c>
      <c r="M125" s="394">
        <v>4292681.1100000003</v>
      </c>
      <c r="N125" s="390">
        <v>8.1539100000000003E-3</v>
      </c>
    </row>
    <row r="126" spans="1:14">
      <c r="A126" s="170" t="s">
        <v>731</v>
      </c>
      <c r="B126" s="170" t="s">
        <v>730</v>
      </c>
      <c r="C126" s="170" t="s">
        <v>1065</v>
      </c>
      <c r="D126" s="170" t="s">
        <v>551</v>
      </c>
      <c r="E126" s="170" t="s">
        <v>293</v>
      </c>
      <c r="F126" s="170" t="s">
        <v>364</v>
      </c>
      <c r="G126" s="170" t="s">
        <v>1119</v>
      </c>
      <c r="H126" s="170" t="s">
        <v>39</v>
      </c>
      <c r="I126" s="394">
        <v>3340000</v>
      </c>
      <c r="J126" s="395">
        <v>105.73</v>
      </c>
      <c r="K126" s="395">
        <v>1</v>
      </c>
      <c r="L126" s="395">
        <v>1.0636749999999999</v>
      </c>
      <c r="M126" s="394">
        <v>3552674.5</v>
      </c>
      <c r="N126" s="390">
        <v>6.7482699999999998E-3</v>
      </c>
    </row>
    <row r="127" spans="1:14">
      <c r="A127" s="170" t="s">
        <v>510</v>
      </c>
      <c r="B127" s="170" t="s">
        <v>509</v>
      </c>
      <c r="C127" s="170" t="s">
        <v>1065</v>
      </c>
      <c r="D127" s="170" t="s">
        <v>508</v>
      </c>
      <c r="E127" s="170" t="s">
        <v>499</v>
      </c>
      <c r="F127" s="170" t="s">
        <v>443</v>
      </c>
      <c r="G127" s="170" t="s">
        <v>1118</v>
      </c>
      <c r="H127" s="170" t="s">
        <v>39</v>
      </c>
      <c r="I127" s="394">
        <v>2606000</v>
      </c>
      <c r="J127" s="395">
        <v>100.872</v>
      </c>
      <c r="K127" s="395">
        <v>1</v>
      </c>
      <c r="L127" s="395">
        <v>1.0120899999999999</v>
      </c>
      <c r="M127" s="394">
        <v>2637507.61</v>
      </c>
      <c r="N127" s="390">
        <v>5.0099200000000002E-3</v>
      </c>
    </row>
    <row r="128" spans="1:14">
      <c r="A128" s="170" t="s">
        <v>728</v>
      </c>
      <c r="B128" s="170" t="s">
        <v>727</v>
      </c>
      <c r="C128" s="170" t="s">
        <v>1065</v>
      </c>
      <c r="D128" s="170" t="s">
        <v>508</v>
      </c>
      <c r="E128" s="170" t="s">
        <v>514</v>
      </c>
      <c r="F128" s="170" t="s">
        <v>475</v>
      </c>
      <c r="G128" s="170" t="s">
        <v>1117</v>
      </c>
      <c r="H128" s="170" t="s">
        <v>39</v>
      </c>
      <c r="I128" s="394">
        <v>4293000</v>
      </c>
      <c r="J128" s="395">
        <v>105.893</v>
      </c>
      <c r="K128" s="395">
        <v>1</v>
      </c>
      <c r="L128" s="395">
        <v>1.062427</v>
      </c>
      <c r="M128" s="394">
        <v>4560997.08</v>
      </c>
      <c r="N128" s="390">
        <v>8.6635700000000006E-3</v>
      </c>
    </row>
    <row r="129" spans="1:14">
      <c r="A129" s="170" t="s">
        <v>726</v>
      </c>
      <c r="B129" s="170" t="s">
        <v>725</v>
      </c>
      <c r="C129" s="170" t="s">
        <v>1065</v>
      </c>
      <c r="D129" s="170" t="s">
        <v>567</v>
      </c>
      <c r="E129" s="170" t="s">
        <v>514</v>
      </c>
      <c r="F129" s="170" t="s">
        <v>333</v>
      </c>
      <c r="G129" s="170" t="s">
        <v>1095</v>
      </c>
      <c r="H129" s="170" t="s">
        <v>39</v>
      </c>
      <c r="I129" s="394">
        <v>3827000</v>
      </c>
      <c r="J129" s="395">
        <v>106.245</v>
      </c>
      <c r="K129" s="395">
        <v>1</v>
      </c>
      <c r="L129" s="395">
        <v>1.0660130000000001</v>
      </c>
      <c r="M129" s="394">
        <v>4079629.84</v>
      </c>
      <c r="N129" s="390">
        <v>7.7492200000000002E-3</v>
      </c>
    </row>
    <row r="130" spans="1:14">
      <c r="A130" s="170" t="s">
        <v>506</v>
      </c>
      <c r="B130" s="170" t="s">
        <v>505</v>
      </c>
      <c r="C130" s="170" t="s">
        <v>1065</v>
      </c>
      <c r="D130" s="170" t="s">
        <v>497</v>
      </c>
      <c r="E130" s="170" t="s">
        <v>499</v>
      </c>
      <c r="F130" s="170" t="s">
        <v>352</v>
      </c>
      <c r="G130" s="170" t="s">
        <v>1116</v>
      </c>
      <c r="H130" s="170" t="s">
        <v>39</v>
      </c>
      <c r="I130" s="394">
        <v>2501000</v>
      </c>
      <c r="J130" s="395">
        <v>100.41</v>
      </c>
      <c r="K130" s="395">
        <v>1</v>
      </c>
      <c r="L130" s="395">
        <v>1.007128</v>
      </c>
      <c r="M130" s="394">
        <v>2518826.9900000002</v>
      </c>
      <c r="N130" s="390">
        <v>4.7844899999999998E-3</v>
      </c>
    </row>
    <row r="131" spans="1:14">
      <c r="A131" s="170" t="s">
        <v>723</v>
      </c>
      <c r="B131" s="170" t="s">
        <v>722</v>
      </c>
      <c r="C131" s="170" t="s">
        <v>1065</v>
      </c>
      <c r="D131" s="170" t="s">
        <v>588</v>
      </c>
      <c r="E131" s="170" t="s">
        <v>499</v>
      </c>
      <c r="F131" s="170" t="s">
        <v>392</v>
      </c>
      <c r="G131" s="170" t="s">
        <v>1115</v>
      </c>
      <c r="H131" s="170" t="s">
        <v>39</v>
      </c>
      <c r="I131" s="394">
        <v>2000000</v>
      </c>
      <c r="J131" s="395">
        <v>105.09099999999999</v>
      </c>
      <c r="K131" s="395">
        <v>1</v>
      </c>
      <c r="L131" s="395">
        <v>1.074581</v>
      </c>
      <c r="M131" s="394">
        <v>2149162.4700000002</v>
      </c>
      <c r="N131" s="390">
        <v>4.0823099999999996E-3</v>
      </c>
    </row>
    <row r="132" spans="1:14">
      <c r="A132" s="170" t="s">
        <v>720</v>
      </c>
      <c r="B132" s="170" t="s">
        <v>719</v>
      </c>
      <c r="C132" s="170" t="s">
        <v>1065</v>
      </c>
      <c r="D132" s="170" t="s">
        <v>575</v>
      </c>
      <c r="E132" s="170" t="s">
        <v>571</v>
      </c>
      <c r="F132" s="170" t="s">
        <v>417</v>
      </c>
      <c r="G132" s="170" t="s">
        <v>1114</v>
      </c>
      <c r="H132" s="170" t="s">
        <v>39</v>
      </c>
      <c r="I132" s="394">
        <v>3700000</v>
      </c>
      <c r="J132" s="395">
        <v>64.546999999999997</v>
      </c>
      <c r="K132" s="395">
        <v>1</v>
      </c>
      <c r="L132" s="395">
        <v>0.64662299999999995</v>
      </c>
      <c r="M132" s="394">
        <v>2392504.2799999998</v>
      </c>
      <c r="N132" s="390">
        <v>4.5445399999999997E-3</v>
      </c>
    </row>
    <row r="133" spans="1:14">
      <c r="A133" s="170" t="s">
        <v>717</v>
      </c>
      <c r="B133" s="170" t="s">
        <v>716</v>
      </c>
      <c r="C133" s="170" t="s">
        <v>1065</v>
      </c>
      <c r="D133" s="170" t="s">
        <v>544</v>
      </c>
      <c r="E133" s="170" t="s">
        <v>287</v>
      </c>
      <c r="F133" s="170" t="s">
        <v>359</v>
      </c>
      <c r="G133" s="170" t="s">
        <v>1113</v>
      </c>
      <c r="H133" s="170" t="s">
        <v>39</v>
      </c>
      <c r="I133" s="394">
        <v>1298000</v>
      </c>
      <c r="J133" s="395">
        <v>102.325</v>
      </c>
      <c r="K133" s="395">
        <v>1</v>
      </c>
      <c r="L133" s="395">
        <v>1.0393749999999999</v>
      </c>
      <c r="M133" s="394">
        <v>1349108.75</v>
      </c>
      <c r="N133" s="390">
        <v>2.5626199999999998E-3</v>
      </c>
    </row>
    <row r="134" spans="1:14">
      <c r="A134" s="170" t="s">
        <v>714</v>
      </c>
      <c r="B134" s="170" t="s">
        <v>713</v>
      </c>
      <c r="C134" s="170" t="s">
        <v>1065</v>
      </c>
      <c r="D134" s="170" t="s">
        <v>567</v>
      </c>
      <c r="E134" s="170" t="s">
        <v>293</v>
      </c>
      <c r="F134" s="170" t="s">
        <v>358</v>
      </c>
      <c r="G134" s="170" t="s">
        <v>1112</v>
      </c>
      <c r="H134" s="170" t="s">
        <v>39</v>
      </c>
      <c r="I134" s="394">
        <v>1600000</v>
      </c>
      <c r="J134" s="395">
        <v>98.435000000000002</v>
      </c>
      <c r="K134" s="395">
        <v>1</v>
      </c>
      <c r="L134" s="395">
        <v>1.0379389999999999</v>
      </c>
      <c r="M134" s="394">
        <v>1660702.47</v>
      </c>
      <c r="N134" s="390">
        <v>3.1544899999999998E-3</v>
      </c>
    </row>
    <row r="135" spans="1:14">
      <c r="A135" s="170" t="s">
        <v>711</v>
      </c>
      <c r="B135" s="170" t="s">
        <v>710</v>
      </c>
      <c r="C135" s="170" t="s">
        <v>1065</v>
      </c>
      <c r="D135" s="170" t="s">
        <v>551</v>
      </c>
      <c r="E135" s="170" t="s">
        <v>600</v>
      </c>
      <c r="F135" s="170" t="s">
        <v>374</v>
      </c>
      <c r="G135" s="170" t="s">
        <v>1111</v>
      </c>
      <c r="H135" s="170" t="s">
        <v>39</v>
      </c>
      <c r="I135" s="394">
        <v>2817000</v>
      </c>
      <c r="J135" s="395">
        <v>104.26600000000001</v>
      </c>
      <c r="K135" s="395">
        <v>1</v>
      </c>
      <c r="L135" s="395">
        <v>1.0613619999999999</v>
      </c>
      <c r="M135" s="394">
        <v>2989856.91</v>
      </c>
      <c r="N135" s="390">
        <v>5.6792099999999996E-3</v>
      </c>
    </row>
    <row r="136" spans="1:14">
      <c r="A136" s="170" t="s">
        <v>708</v>
      </c>
      <c r="B136" s="170" t="s">
        <v>707</v>
      </c>
      <c r="C136" s="170" t="s">
        <v>1065</v>
      </c>
      <c r="D136" s="170" t="s">
        <v>1064</v>
      </c>
      <c r="E136" s="170" t="s">
        <v>499</v>
      </c>
      <c r="F136" s="170" t="s">
        <v>455</v>
      </c>
      <c r="G136" s="170" t="s">
        <v>1110</v>
      </c>
      <c r="H136" s="170" t="s">
        <v>39</v>
      </c>
      <c r="I136" s="394">
        <v>3627000</v>
      </c>
      <c r="J136" s="395">
        <v>103.271</v>
      </c>
      <c r="K136" s="395">
        <v>1</v>
      </c>
      <c r="L136" s="395">
        <v>1.0550870000000001</v>
      </c>
      <c r="M136" s="394">
        <v>3826800.73</v>
      </c>
      <c r="N136" s="390">
        <v>7.2689699999999996E-3</v>
      </c>
    </row>
    <row r="137" spans="1:14">
      <c r="A137" s="170" t="s">
        <v>705</v>
      </c>
      <c r="B137" s="170" t="s">
        <v>704</v>
      </c>
      <c r="C137" s="170" t="s">
        <v>1065</v>
      </c>
      <c r="D137" s="170" t="s">
        <v>622</v>
      </c>
      <c r="E137" s="170" t="s">
        <v>293</v>
      </c>
      <c r="F137" s="170" t="s">
        <v>416</v>
      </c>
      <c r="G137" s="170" t="s">
        <v>1109</v>
      </c>
      <c r="H137" s="170" t="s">
        <v>39</v>
      </c>
      <c r="I137" s="394">
        <v>4063000</v>
      </c>
      <c r="J137" s="395">
        <v>102.26</v>
      </c>
      <c r="K137" s="395">
        <v>1</v>
      </c>
      <c r="L137" s="395">
        <v>1.053668</v>
      </c>
      <c r="M137" s="394">
        <v>4281055.09</v>
      </c>
      <c r="N137" s="390">
        <v>8.1318299999999996E-3</v>
      </c>
    </row>
    <row r="138" spans="1:14">
      <c r="A138" s="170" t="s">
        <v>702</v>
      </c>
      <c r="B138" s="170" t="s">
        <v>701</v>
      </c>
      <c r="C138" s="170" t="s">
        <v>1065</v>
      </c>
      <c r="D138" s="170" t="s">
        <v>575</v>
      </c>
      <c r="E138" s="170" t="s">
        <v>576</v>
      </c>
      <c r="F138" s="170" t="s">
        <v>413</v>
      </c>
      <c r="G138" s="170" t="s">
        <v>1108</v>
      </c>
      <c r="H138" s="170" t="s">
        <v>39</v>
      </c>
      <c r="I138" s="394">
        <v>2900000</v>
      </c>
      <c r="J138" s="395">
        <v>106.247</v>
      </c>
      <c r="K138" s="395">
        <v>1</v>
      </c>
      <c r="L138" s="395">
        <v>1.0772820000000001</v>
      </c>
      <c r="M138" s="394">
        <v>3124119.25</v>
      </c>
      <c r="N138" s="390">
        <v>5.9342400000000003E-3</v>
      </c>
    </row>
    <row r="139" spans="1:14">
      <c r="A139" s="170" t="s">
        <v>699</v>
      </c>
      <c r="B139" s="170" t="s">
        <v>698</v>
      </c>
      <c r="C139" s="170" t="s">
        <v>1065</v>
      </c>
      <c r="D139" s="170" t="s">
        <v>1064</v>
      </c>
      <c r="E139" s="170" t="s">
        <v>514</v>
      </c>
      <c r="F139" s="170" t="s">
        <v>383</v>
      </c>
      <c r="G139" s="170" t="s">
        <v>1107</v>
      </c>
      <c r="H139" s="170" t="s">
        <v>39</v>
      </c>
      <c r="I139" s="394">
        <v>1834000</v>
      </c>
      <c r="J139" s="395">
        <v>104.575</v>
      </c>
      <c r="K139" s="395">
        <v>1</v>
      </c>
      <c r="L139" s="395">
        <v>1.071326</v>
      </c>
      <c r="M139" s="394">
        <v>1964812.6</v>
      </c>
      <c r="N139" s="390">
        <v>3.7321400000000001E-3</v>
      </c>
    </row>
    <row r="140" spans="1:14">
      <c r="A140" s="170" t="s">
        <v>695</v>
      </c>
      <c r="B140" s="170" t="s">
        <v>694</v>
      </c>
      <c r="C140" s="170" t="s">
        <v>1065</v>
      </c>
      <c r="D140" s="170" t="s">
        <v>1064</v>
      </c>
      <c r="E140" s="170" t="s">
        <v>576</v>
      </c>
      <c r="F140" s="170" t="s">
        <v>442</v>
      </c>
      <c r="G140" s="170" t="s">
        <v>1106</v>
      </c>
      <c r="H140" s="170" t="s">
        <v>39</v>
      </c>
      <c r="I140" s="394">
        <v>2994000</v>
      </c>
      <c r="J140" s="395">
        <v>104.15300000000001</v>
      </c>
      <c r="K140" s="395">
        <v>1</v>
      </c>
      <c r="L140" s="395">
        <v>1.0604849999999999</v>
      </c>
      <c r="M140" s="394">
        <v>3175091.84</v>
      </c>
      <c r="N140" s="390">
        <v>6.0310600000000004E-3</v>
      </c>
    </row>
    <row r="141" spans="1:14">
      <c r="A141" s="170" t="s">
        <v>692</v>
      </c>
      <c r="B141" s="170" t="s">
        <v>691</v>
      </c>
      <c r="C141" s="170" t="s">
        <v>1065</v>
      </c>
      <c r="D141" s="170" t="s">
        <v>642</v>
      </c>
      <c r="E141" s="170" t="s">
        <v>576</v>
      </c>
      <c r="F141" s="170" t="s">
        <v>424</v>
      </c>
      <c r="G141" s="170" t="s">
        <v>1105</v>
      </c>
      <c r="H141" s="170" t="s">
        <v>39</v>
      </c>
      <c r="I141" s="394">
        <v>3346000</v>
      </c>
      <c r="J141" s="395">
        <v>102.637</v>
      </c>
      <c r="K141" s="395">
        <v>1</v>
      </c>
      <c r="L141" s="395">
        <v>1.0400659999999999</v>
      </c>
      <c r="M141" s="394">
        <v>3480059.67</v>
      </c>
      <c r="N141" s="390">
        <v>6.6103400000000001E-3</v>
      </c>
    </row>
    <row r="142" spans="1:14">
      <c r="A142" s="170" t="s">
        <v>689</v>
      </c>
      <c r="B142" s="170" t="s">
        <v>688</v>
      </c>
      <c r="C142" s="170" t="s">
        <v>1065</v>
      </c>
      <c r="D142" s="170" t="s">
        <v>508</v>
      </c>
      <c r="E142" s="170" t="s">
        <v>576</v>
      </c>
      <c r="F142" s="170" t="s">
        <v>473</v>
      </c>
      <c r="G142" s="170" t="s">
        <v>1089</v>
      </c>
      <c r="H142" s="170" t="s">
        <v>39</v>
      </c>
      <c r="I142" s="394">
        <v>4368000</v>
      </c>
      <c r="J142" s="395">
        <v>101.959</v>
      </c>
      <c r="K142" s="395">
        <v>1</v>
      </c>
      <c r="L142" s="395">
        <v>1.037757</v>
      </c>
      <c r="M142" s="394">
        <v>4532921.12</v>
      </c>
      <c r="N142" s="390">
        <v>8.6102399999999999E-3</v>
      </c>
    </row>
    <row r="143" spans="1:14">
      <c r="A143" s="170" t="s">
        <v>687</v>
      </c>
      <c r="B143" s="170" t="s">
        <v>686</v>
      </c>
      <c r="C143" s="170" t="s">
        <v>1065</v>
      </c>
      <c r="D143" s="170" t="s">
        <v>642</v>
      </c>
      <c r="E143" s="170" t="s">
        <v>685</v>
      </c>
      <c r="F143" s="170" t="s">
        <v>403</v>
      </c>
      <c r="G143" s="170" t="s">
        <v>1079</v>
      </c>
      <c r="H143" s="170" t="s">
        <v>39</v>
      </c>
      <c r="I143" s="394">
        <v>2100000</v>
      </c>
      <c r="J143" s="395">
        <v>101.227</v>
      </c>
      <c r="K143" s="395">
        <v>1</v>
      </c>
      <c r="L143" s="395">
        <v>1.0379149999999999</v>
      </c>
      <c r="M143" s="394">
        <v>2179621.9300000002</v>
      </c>
      <c r="N143" s="390">
        <v>4.1401700000000003E-3</v>
      </c>
    </row>
    <row r="144" spans="1:14">
      <c r="A144" s="170" t="s">
        <v>684</v>
      </c>
      <c r="B144" s="170" t="s">
        <v>683</v>
      </c>
      <c r="C144" s="170" t="s">
        <v>1065</v>
      </c>
      <c r="D144" s="170" t="s">
        <v>551</v>
      </c>
      <c r="E144" s="170" t="s">
        <v>576</v>
      </c>
      <c r="F144" s="170" t="s">
        <v>388</v>
      </c>
      <c r="G144" s="170" t="s">
        <v>1104</v>
      </c>
      <c r="H144" s="170" t="s">
        <v>39</v>
      </c>
      <c r="I144" s="394">
        <v>1280000</v>
      </c>
      <c r="J144" s="395">
        <v>103.355</v>
      </c>
      <c r="K144" s="395">
        <v>1</v>
      </c>
      <c r="L144" s="395">
        <v>1.0576129999999999</v>
      </c>
      <c r="M144" s="394">
        <v>1353744</v>
      </c>
      <c r="N144" s="390">
        <v>2.57142E-3</v>
      </c>
    </row>
    <row r="145" spans="1:14">
      <c r="A145" s="170" t="s">
        <v>678</v>
      </c>
      <c r="B145" s="170" t="s">
        <v>677</v>
      </c>
      <c r="C145" s="170" t="s">
        <v>1065</v>
      </c>
      <c r="D145" s="170" t="s">
        <v>544</v>
      </c>
      <c r="E145" s="170" t="s">
        <v>514</v>
      </c>
      <c r="F145" s="170" t="s">
        <v>466</v>
      </c>
      <c r="G145" s="170" t="s">
        <v>1102</v>
      </c>
      <c r="H145" s="170" t="s">
        <v>39</v>
      </c>
      <c r="I145" s="394">
        <v>4035000</v>
      </c>
      <c r="J145" s="395">
        <v>104.854</v>
      </c>
      <c r="K145" s="395">
        <v>1</v>
      </c>
      <c r="L145" s="395">
        <v>1.0904149999999999</v>
      </c>
      <c r="M145" s="394">
        <v>4399824.53</v>
      </c>
      <c r="N145" s="390">
        <v>8.3574300000000008E-3</v>
      </c>
    </row>
    <row r="146" spans="1:14">
      <c r="A146" s="170" t="s">
        <v>501</v>
      </c>
      <c r="B146" s="170" t="s">
        <v>500</v>
      </c>
      <c r="C146" s="170" t="s">
        <v>1065</v>
      </c>
      <c r="D146" s="170" t="s">
        <v>497</v>
      </c>
      <c r="E146" s="170" t="s">
        <v>499</v>
      </c>
      <c r="F146" s="170" t="s">
        <v>381</v>
      </c>
      <c r="G146" s="170" t="s">
        <v>1101</v>
      </c>
      <c r="H146" s="170" t="s">
        <v>39</v>
      </c>
      <c r="I146" s="394">
        <v>2337000</v>
      </c>
      <c r="J146" s="395">
        <v>100.369</v>
      </c>
      <c r="K146" s="395">
        <v>1</v>
      </c>
      <c r="L146" s="395">
        <v>1.0096639999999999</v>
      </c>
      <c r="M146" s="394">
        <v>2359584.7000000002</v>
      </c>
      <c r="N146" s="390">
        <v>4.4820099999999998E-3</v>
      </c>
    </row>
    <row r="147" spans="1:14">
      <c r="A147" s="170" t="s">
        <v>675</v>
      </c>
      <c r="B147" s="170" t="s">
        <v>674</v>
      </c>
      <c r="C147" s="170" t="s">
        <v>1065</v>
      </c>
      <c r="D147" s="170" t="s">
        <v>622</v>
      </c>
      <c r="E147" s="170" t="s">
        <v>571</v>
      </c>
      <c r="F147" s="170" t="s">
        <v>390</v>
      </c>
      <c r="G147" s="170" t="s">
        <v>1096</v>
      </c>
      <c r="H147" s="170" t="s">
        <v>39</v>
      </c>
      <c r="I147" s="394">
        <v>1667000</v>
      </c>
      <c r="J147" s="395">
        <v>104.81100000000001</v>
      </c>
      <c r="K147" s="395">
        <v>1</v>
      </c>
      <c r="L147" s="395">
        <v>1.061002</v>
      </c>
      <c r="M147" s="394">
        <v>1768690.94</v>
      </c>
      <c r="N147" s="390">
        <v>3.3596099999999999E-3</v>
      </c>
    </row>
    <row r="148" spans="1:14">
      <c r="A148" s="170" t="s">
        <v>673</v>
      </c>
      <c r="B148" s="170" t="s">
        <v>672</v>
      </c>
      <c r="C148" s="170" t="s">
        <v>1065</v>
      </c>
      <c r="D148" s="170" t="s">
        <v>588</v>
      </c>
      <c r="E148" s="170" t="s">
        <v>287</v>
      </c>
      <c r="F148" s="170" t="s">
        <v>423</v>
      </c>
      <c r="G148" s="170" t="s">
        <v>1085</v>
      </c>
      <c r="H148" s="170" t="s">
        <v>39</v>
      </c>
      <c r="I148" s="394">
        <v>3078000</v>
      </c>
      <c r="J148" s="395">
        <v>102.94499999999999</v>
      </c>
      <c r="K148" s="395">
        <v>1</v>
      </c>
      <c r="L148" s="395">
        <v>1.0440020000000001</v>
      </c>
      <c r="M148" s="394">
        <v>3213438.41</v>
      </c>
      <c r="N148" s="390">
        <v>6.1038999999999998E-3</v>
      </c>
    </row>
    <row r="149" spans="1:14">
      <c r="A149" s="170" t="s">
        <v>671</v>
      </c>
      <c r="B149" s="170" t="s">
        <v>670</v>
      </c>
      <c r="C149" s="170" t="s">
        <v>1065</v>
      </c>
      <c r="D149" s="170" t="s">
        <v>669</v>
      </c>
      <c r="E149" s="170" t="s">
        <v>685</v>
      </c>
      <c r="F149" s="170" t="s">
        <v>487</v>
      </c>
      <c r="G149" s="170" t="s">
        <v>1079</v>
      </c>
      <c r="H149" s="170" t="s">
        <v>39</v>
      </c>
      <c r="I149" s="394">
        <v>2500000</v>
      </c>
      <c r="J149" s="395">
        <v>103.4</v>
      </c>
      <c r="K149" s="395">
        <v>1</v>
      </c>
      <c r="L149" s="395">
        <v>1.054969</v>
      </c>
      <c r="M149" s="394">
        <v>2637422.9500000002</v>
      </c>
      <c r="N149" s="390">
        <v>5.0097600000000003E-3</v>
      </c>
    </row>
    <row r="150" spans="1:14">
      <c r="A150" s="170" t="s">
        <v>668</v>
      </c>
      <c r="B150" s="170" t="s">
        <v>667</v>
      </c>
      <c r="C150" s="170" t="s">
        <v>1065</v>
      </c>
      <c r="D150" s="170" t="s">
        <v>1064</v>
      </c>
      <c r="E150" s="170" t="s">
        <v>547</v>
      </c>
      <c r="F150" s="170" t="s">
        <v>467</v>
      </c>
      <c r="G150" s="170" t="s">
        <v>1100</v>
      </c>
      <c r="H150" s="170" t="s">
        <v>39</v>
      </c>
      <c r="I150" s="394">
        <v>1368000</v>
      </c>
      <c r="J150" s="395">
        <v>105.63500000000001</v>
      </c>
      <c r="K150" s="395">
        <v>1</v>
      </c>
      <c r="L150" s="395">
        <v>0.56756099999999998</v>
      </c>
      <c r="M150" s="394">
        <v>776423.09</v>
      </c>
      <c r="N150" s="390">
        <v>1.47481E-3</v>
      </c>
    </row>
    <row r="151" spans="1:14">
      <c r="A151" s="170" t="s">
        <v>665</v>
      </c>
      <c r="B151" s="170" t="s">
        <v>664</v>
      </c>
      <c r="C151" s="170" t="s">
        <v>1065</v>
      </c>
      <c r="D151" s="170" t="s">
        <v>551</v>
      </c>
      <c r="E151" s="170" t="s">
        <v>571</v>
      </c>
      <c r="F151" s="170" t="s">
        <v>419</v>
      </c>
      <c r="G151" s="170" t="s">
        <v>1099</v>
      </c>
      <c r="H151" s="170" t="s">
        <v>39</v>
      </c>
      <c r="I151" s="394">
        <v>3090000</v>
      </c>
      <c r="J151" s="395">
        <v>105.68300000000001</v>
      </c>
      <c r="K151" s="395">
        <v>1</v>
      </c>
      <c r="L151" s="395">
        <v>1.0752360000000001</v>
      </c>
      <c r="M151" s="394">
        <v>3322480.01</v>
      </c>
      <c r="N151" s="390">
        <v>6.3110199999999997E-3</v>
      </c>
    </row>
    <row r="152" spans="1:14">
      <c r="A152" s="170" t="s">
        <v>662</v>
      </c>
      <c r="B152" s="170" t="s">
        <v>661</v>
      </c>
      <c r="C152" s="170" t="s">
        <v>1065</v>
      </c>
      <c r="D152" s="170" t="s">
        <v>1064</v>
      </c>
      <c r="E152" s="170" t="s">
        <v>547</v>
      </c>
      <c r="F152" s="170" t="s">
        <v>362</v>
      </c>
      <c r="G152" s="170" t="s">
        <v>1098</v>
      </c>
      <c r="H152" s="170" t="s">
        <v>39</v>
      </c>
      <c r="I152" s="394">
        <v>5509000</v>
      </c>
      <c r="J152" s="395">
        <v>76.453000000000003</v>
      </c>
      <c r="K152" s="395">
        <v>1</v>
      </c>
      <c r="L152" s="395">
        <v>0.77152699999999996</v>
      </c>
      <c r="M152" s="394">
        <v>4250339.9000000004</v>
      </c>
      <c r="N152" s="390">
        <v>8.0734799999999992E-3</v>
      </c>
    </row>
    <row r="153" spans="1:14">
      <c r="A153" s="170" t="s">
        <v>659</v>
      </c>
      <c r="B153" s="170" t="s">
        <v>658</v>
      </c>
      <c r="C153" s="170" t="s">
        <v>1065</v>
      </c>
      <c r="D153" s="170" t="s">
        <v>513</v>
      </c>
      <c r="E153" s="170" t="s">
        <v>576</v>
      </c>
      <c r="F153" s="170" t="s">
        <v>446</v>
      </c>
      <c r="G153" s="170" t="s">
        <v>1097</v>
      </c>
      <c r="H153" s="170" t="s">
        <v>39</v>
      </c>
      <c r="I153" s="394">
        <v>1600000</v>
      </c>
      <c r="J153" s="395">
        <v>101.83199999999999</v>
      </c>
      <c r="K153" s="395">
        <v>1</v>
      </c>
      <c r="L153" s="395">
        <v>1.047231</v>
      </c>
      <c r="M153" s="394">
        <v>1675569.53</v>
      </c>
      <c r="N153" s="390">
        <v>3.1827299999999999E-3</v>
      </c>
    </row>
    <row r="154" spans="1:14">
      <c r="A154" s="170" t="s">
        <v>656</v>
      </c>
      <c r="B154" s="170" t="s">
        <v>655</v>
      </c>
      <c r="C154" s="170" t="s">
        <v>1065</v>
      </c>
      <c r="D154" s="170" t="s">
        <v>508</v>
      </c>
      <c r="E154" s="170" t="s">
        <v>287</v>
      </c>
      <c r="F154" s="170" t="s">
        <v>404</v>
      </c>
      <c r="G154" s="170" t="s">
        <v>1087</v>
      </c>
      <c r="H154" s="170" t="s">
        <v>39</v>
      </c>
      <c r="I154" s="394">
        <v>1378000</v>
      </c>
      <c r="J154" s="395">
        <v>101.759</v>
      </c>
      <c r="K154" s="395">
        <v>1</v>
      </c>
      <c r="L154" s="395">
        <v>1.0327949999999999</v>
      </c>
      <c r="M154" s="394">
        <v>1423192.17</v>
      </c>
      <c r="N154" s="390">
        <v>2.7033399999999998E-3</v>
      </c>
    </row>
    <row r="155" spans="1:14">
      <c r="A155" s="170" t="s">
        <v>654</v>
      </c>
      <c r="B155" s="170" t="s">
        <v>653</v>
      </c>
      <c r="C155" s="170" t="s">
        <v>1065</v>
      </c>
      <c r="D155" s="170" t="s">
        <v>588</v>
      </c>
      <c r="E155" s="170" t="s">
        <v>499</v>
      </c>
      <c r="F155" s="170" t="s">
        <v>432</v>
      </c>
      <c r="G155" s="170" t="s">
        <v>1096</v>
      </c>
      <c r="H155" s="170" t="s">
        <v>39</v>
      </c>
      <c r="I155" s="394">
        <v>833000</v>
      </c>
      <c r="J155" s="395">
        <v>108.417</v>
      </c>
      <c r="K155" s="395">
        <v>1</v>
      </c>
      <c r="L155" s="395">
        <v>1.1138779999999999</v>
      </c>
      <c r="M155" s="394">
        <v>927860.65</v>
      </c>
      <c r="N155" s="390">
        <v>1.76246E-3</v>
      </c>
    </row>
    <row r="156" spans="1:14">
      <c r="A156" s="170" t="s">
        <v>652</v>
      </c>
      <c r="B156" s="170" t="s">
        <v>651</v>
      </c>
      <c r="C156" s="170" t="s">
        <v>1065</v>
      </c>
      <c r="D156" s="170" t="s">
        <v>650</v>
      </c>
      <c r="E156" s="170" t="s">
        <v>293</v>
      </c>
      <c r="F156" s="170" t="s">
        <v>354</v>
      </c>
      <c r="G156" s="170" t="s">
        <v>1096</v>
      </c>
      <c r="H156" s="170" t="s">
        <v>39</v>
      </c>
      <c r="I156" s="394">
        <v>2465000</v>
      </c>
      <c r="J156" s="395">
        <v>98.522999999999996</v>
      </c>
      <c r="K156" s="395">
        <v>1</v>
      </c>
      <c r="L156" s="395">
        <v>1.013136</v>
      </c>
      <c r="M156" s="394">
        <v>2497380.86</v>
      </c>
      <c r="N156" s="390">
        <v>4.7437499999999997E-3</v>
      </c>
    </row>
    <row r="157" spans="1:14">
      <c r="A157" s="170" t="s">
        <v>648</v>
      </c>
      <c r="B157" s="170" t="s">
        <v>647</v>
      </c>
      <c r="C157" s="170" t="s">
        <v>1065</v>
      </c>
      <c r="D157" s="170" t="s">
        <v>575</v>
      </c>
      <c r="E157" s="170" t="s">
        <v>646</v>
      </c>
      <c r="F157" s="170" t="s">
        <v>387</v>
      </c>
      <c r="G157" s="170" t="s">
        <v>1095</v>
      </c>
      <c r="H157" s="170" t="s">
        <v>39</v>
      </c>
      <c r="I157" s="394">
        <v>1419000</v>
      </c>
      <c r="J157" s="395">
        <v>101.623</v>
      </c>
      <c r="K157" s="395">
        <v>1</v>
      </c>
      <c r="L157" s="395">
        <v>1.0188189999999999</v>
      </c>
      <c r="M157" s="394">
        <v>1445704.22</v>
      </c>
      <c r="N157" s="390">
        <v>2.7461E-3</v>
      </c>
    </row>
    <row r="158" spans="1:14">
      <c r="A158" s="170" t="s">
        <v>644</v>
      </c>
      <c r="B158" s="170" t="s">
        <v>643</v>
      </c>
      <c r="C158" s="170" t="s">
        <v>1065</v>
      </c>
      <c r="D158" s="170" t="s">
        <v>642</v>
      </c>
      <c r="E158" s="170" t="s">
        <v>532</v>
      </c>
      <c r="F158" s="170" t="s">
        <v>369</v>
      </c>
      <c r="G158" s="170" t="s">
        <v>1094</v>
      </c>
      <c r="H158" s="170" t="s">
        <v>39</v>
      </c>
      <c r="I158" s="394">
        <v>4184000</v>
      </c>
      <c r="J158" s="395">
        <v>100.17</v>
      </c>
      <c r="K158" s="395">
        <v>1</v>
      </c>
      <c r="L158" s="395">
        <v>1.0118180000000001</v>
      </c>
      <c r="M158" s="394">
        <v>4233446.74</v>
      </c>
      <c r="N158" s="390">
        <v>8.0413900000000007E-3</v>
      </c>
    </row>
    <row r="159" spans="1:14">
      <c r="A159" s="170" t="s">
        <v>640</v>
      </c>
      <c r="B159" s="170" t="s">
        <v>639</v>
      </c>
      <c r="C159" s="170" t="s">
        <v>1065</v>
      </c>
      <c r="D159" s="170" t="s">
        <v>508</v>
      </c>
      <c r="E159" s="170" t="s">
        <v>499</v>
      </c>
      <c r="F159" s="170" t="s">
        <v>366</v>
      </c>
      <c r="G159" s="170" t="s">
        <v>1093</v>
      </c>
      <c r="H159" s="170" t="s">
        <v>39</v>
      </c>
      <c r="I159" s="394">
        <v>1817000</v>
      </c>
      <c r="J159" s="395">
        <v>101.783</v>
      </c>
      <c r="K159" s="395">
        <v>1</v>
      </c>
      <c r="L159" s="395">
        <v>1.0588299999999999</v>
      </c>
      <c r="M159" s="394">
        <v>1923894.11</v>
      </c>
      <c r="N159" s="390">
        <v>3.6544199999999998E-3</v>
      </c>
    </row>
    <row r="160" spans="1:14">
      <c r="A160" s="170" t="s">
        <v>637</v>
      </c>
      <c r="B160" s="170" t="s">
        <v>636</v>
      </c>
      <c r="C160" s="170" t="s">
        <v>1065</v>
      </c>
      <c r="D160" s="170" t="s">
        <v>634</v>
      </c>
      <c r="E160" s="170" t="s">
        <v>1092</v>
      </c>
      <c r="F160" s="170" t="s">
        <v>361</v>
      </c>
      <c r="G160" s="170" t="s">
        <v>1091</v>
      </c>
      <c r="H160" s="170" t="s">
        <v>39</v>
      </c>
      <c r="I160" s="394">
        <v>1878000</v>
      </c>
      <c r="J160" s="395">
        <v>98.983000000000004</v>
      </c>
      <c r="K160" s="395">
        <v>1</v>
      </c>
      <c r="L160" s="395">
        <v>1.006705</v>
      </c>
      <c r="M160" s="394">
        <v>1890591.99</v>
      </c>
      <c r="N160" s="390">
        <v>3.5911599999999999E-3</v>
      </c>
    </row>
    <row r="161" spans="1:14">
      <c r="A161" s="170" t="s">
        <v>633</v>
      </c>
      <c r="B161" s="170" t="s">
        <v>632</v>
      </c>
      <c r="C161" s="170" t="s">
        <v>1065</v>
      </c>
      <c r="D161" s="170" t="s">
        <v>612</v>
      </c>
      <c r="E161" s="170" t="s">
        <v>287</v>
      </c>
      <c r="F161" s="170" t="s">
        <v>356</v>
      </c>
      <c r="G161" s="170" t="s">
        <v>1091</v>
      </c>
      <c r="H161" s="170" t="s">
        <v>39</v>
      </c>
      <c r="I161" s="394">
        <v>1732000</v>
      </c>
      <c r="J161" s="395">
        <v>103.20099999999999</v>
      </c>
      <c r="K161" s="395">
        <v>1</v>
      </c>
      <c r="L161" s="395">
        <v>1.038135</v>
      </c>
      <c r="M161" s="394">
        <v>1798049.82</v>
      </c>
      <c r="N161" s="390">
        <v>3.41538E-3</v>
      </c>
    </row>
    <row r="162" spans="1:14">
      <c r="A162" s="170" t="s">
        <v>630</v>
      </c>
      <c r="B162" s="170" t="s">
        <v>629</v>
      </c>
      <c r="C162" s="170" t="s">
        <v>1065</v>
      </c>
      <c r="D162" s="170" t="s">
        <v>513</v>
      </c>
      <c r="E162" s="170" t="s">
        <v>293</v>
      </c>
      <c r="F162" s="170" t="s">
        <v>472</v>
      </c>
      <c r="G162" s="170" t="s">
        <v>1090</v>
      </c>
      <c r="H162" s="170" t="s">
        <v>39</v>
      </c>
      <c r="I162" s="394">
        <v>3268000</v>
      </c>
      <c r="J162" s="395">
        <v>100.316</v>
      </c>
      <c r="K162" s="395">
        <v>1</v>
      </c>
      <c r="L162" s="395">
        <v>1.019566</v>
      </c>
      <c r="M162" s="394">
        <v>3331942.51</v>
      </c>
      <c r="N162" s="390">
        <v>6.3290000000000004E-3</v>
      </c>
    </row>
    <row r="163" spans="1:14">
      <c r="A163" s="170" t="s">
        <v>627</v>
      </c>
      <c r="B163" s="170" t="s">
        <v>626</v>
      </c>
      <c r="C163" s="170" t="s">
        <v>1065</v>
      </c>
      <c r="D163" s="170" t="s">
        <v>612</v>
      </c>
      <c r="E163" s="170" t="s">
        <v>532</v>
      </c>
      <c r="F163" s="170" t="s">
        <v>456</v>
      </c>
      <c r="G163" s="170" t="s">
        <v>1089</v>
      </c>
      <c r="H163" s="170" t="s">
        <v>39</v>
      </c>
      <c r="I163" s="394">
        <v>1594000</v>
      </c>
      <c r="J163" s="395">
        <v>100.75</v>
      </c>
      <c r="K163" s="395">
        <v>1</v>
      </c>
      <c r="L163" s="395">
        <v>1.0270600000000001</v>
      </c>
      <c r="M163" s="394">
        <v>1637132.9</v>
      </c>
      <c r="N163" s="390">
        <v>3.1097199999999998E-3</v>
      </c>
    </row>
    <row r="164" spans="1:14">
      <c r="A164" s="170" t="s">
        <v>624</v>
      </c>
      <c r="B164" s="170" t="s">
        <v>623</v>
      </c>
      <c r="C164" s="170" t="s">
        <v>1065</v>
      </c>
      <c r="D164" s="170" t="s">
        <v>622</v>
      </c>
      <c r="E164" s="170" t="s">
        <v>576</v>
      </c>
      <c r="F164" s="170" t="s">
        <v>478</v>
      </c>
      <c r="G164" s="170" t="s">
        <v>1088</v>
      </c>
      <c r="H164" s="170" t="s">
        <v>39</v>
      </c>
      <c r="I164" s="394">
        <v>3300000</v>
      </c>
      <c r="J164" s="395">
        <v>102.506</v>
      </c>
      <c r="K164" s="395">
        <v>1</v>
      </c>
      <c r="L164" s="395">
        <v>1.045704</v>
      </c>
      <c r="M164" s="394">
        <v>3450822.66</v>
      </c>
      <c r="N164" s="390">
        <v>6.5548100000000003E-3</v>
      </c>
    </row>
    <row r="165" spans="1:14">
      <c r="A165" s="170" t="s">
        <v>620</v>
      </c>
      <c r="B165" s="170" t="s">
        <v>619</v>
      </c>
      <c r="C165" s="170" t="s">
        <v>1065</v>
      </c>
      <c r="D165" s="170" t="s">
        <v>567</v>
      </c>
      <c r="E165" s="170" t="s">
        <v>600</v>
      </c>
      <c r="F165" s="170" t="s">
        <v>437</v>
      </c>
      <c r="G165" s="170" t="s">
        <v>1087</v>
      </c>
      <c r="H165" s="170" t="s">
        <v>39</v>
      </c>
      <c r="I165" s="394">
        <v>4209000</v>
      </c>
      <c r="J165" s="395">
        <v>101.624</v>
      </c>
      <c r="K165" s="395">
        <v>1</v>
      </c>
      <c r="L165" s="395">
        <v>1.028462</v>
      </c>
      <c r="M165" s="394">
        <v>4328797.49</v>
      </c>
      <c r="N165" s="390">
        <v>8.2225100000000006E-3</v>
      </c>
    </row>
    <row r="166" spans="1:14">
      <c r="A166" s="170" t="s">
        <v>617</v>
      </c>
      <c r="B166" s="170" t="s">
        <v>616</v>
      </c>
      <c r="C166" s="170" t="s">
        <v>1065</v>
      </c>
      <c r="D166" s="170" t="s">
        <v>1064</v>
      </c>
      <c r="E166" s="170" t="s">
        <v>287</v>
      </c>
      <c r="F166" s="170" t="s">
        <v>380</v>
      </c>
      <c r="G166" s="170" t="s">
        <v>1086</v>
      </c>
      <c r="H166" s="170" t="s">
        <v>39</v>
      </c>
      <c r="I166" s="394">
        <v>3903000</v>
      </c>
      <c r="J166" s="395">
        <v>102.93</v>
      </c>
      <c r="K166" s="395">
        <v>1</v>
      </c>
      <c r="L166" s="395">
        <v>1.046106</v>
      </c>
      <c r="M166" s="394">
        <v>4082949.98</v>
      </c>
      <c r="N166" s="390">
        <v>7.7555300000000001E-3</v>
      </c>
    </row>
    <row r="167" spans="1:14">
      <c r="A167" s="170" t="s">
        <v>614</v>
      </c>
      <c r="B167" s="170" t="s">
        <v>613</v>
      </c>
      <c r="C167" s="170" t="s">
        <v>1065</v>
      </c>
      <c r="D167" s="170" t="s">
        <v>612</v>
      </c>
      <c r="E167" s="170" t="s">
        <v>499</v>
      </c>
      <c r="F167" s="170" t="s">
        <v>406</v>
      </c>
      <c r="G167" s="170" t="s">
        <v>1085</v>
      </c>
      <c r="H167" s="170" t="s">
        <v>39</v>
      </c>
      <c r="I167" s="394">
        <v>3160000</v>
      </c>
      <c r="J167" s="395">
        <v>102.73</v>
      </c>
      <c r="K167" s="395">
        <v>1</v>
      </c>
      <c r="L167" s="395">
        <v>1.045668</v>
      </c>
      <c r="M167" s="394">
        <v>3304311.06</v>
      </c>
      <c r="N167" s="390">
        <v>6.2765099999999999E-3</v>
      </c>
    </row>
    <row r="168" spans="1:14">
      <c r="A168" s="170" t="s">
        <v>1229</v>
      </c>
      <c r="B168" s="170" t="s">
        <v>1228</v>
      </c>
      <c r="C168" s="170" t="s">
        <v>1065</v>
      </c>
      <c r="D168" s="170" t="s">
        <v>1064</v>
      </c>
      <c r="E168" s="170" t="s">
        <v>685</v>
      </c>
      <c r="F168" s="170" t="s">
        <v>1227</v>
      </c>
      <c r="G168" s="170" t="s">
        <v>1123</v>
      </c>
      <c r="H168" s="170" t="s">
        <v>39</v>
      </c>
      <c r="I168" s="394">
        <v>1989000</v>
      </c>
      <c r="J168" s="395">
        <v>102.566</v>
      </c>
      <c r="K168" s="395">
        <v>1</v>
      </c>
      <c r="L168" s="395">
        <v>1.039722</v>
      </c>
      <c r="M168" s="394">
        <v>2068008.05</v>
      </c>
      <c r="N168" s="390">
        <v>3.92816E-3</v>
      </c>
    </row>
    <row r="169" spans="1:14">
      <c r="A169" s="170" t="s">
        <v>610</v>
      </c>
      <c r="B169" s="170" t="s">
        <v>609</v>
      </c>
      <c r="C169" s="170" t="s">
        <v>1065</v>
      </c>
      <c r="D169" s="170" t="s">
        <v>551</v>
      </c>
      <c r="E169" s="170" t="s">
        <v>293</v>
      </c>
      <c r="F169" s="170" t="s">
        <v>453</v>
      </c>
      <c r="G169" s="170" t="s">
        <v>1084</v>
      </c>
      <c r="H169" s="170" t="s">
        <v>39</v>
      </c>
      <c r="I169" s="394">
        <v>2472000</v>
      </c>
      <c r="J169" s="395">
        <v>103.44</v>
      </c>
      <c r="K169" s="395">
        <v>1</v>
      </c>
      <c r="L169" s="395">
        <v>1.056956</v>
      </c>
      <c r="M169" s="394">
        <v>2612794.13</v>
      </c>
      <c r="N169" s="390">
        <v>4.9629799999999996E-3</v>
      </c>
    </row>
    <row r="170" spans="1:14">
      <c r="A170" s="170" t="s">
        <v>607</v>
      </c>
      <c r="B170" s="170" t="s">
        <v>606</v>
      </c>
      <c r="C170" s="170" t="s">
        <v>1065</v>
      </c>
      <c r="D170" s="170" t="s">
        <v>513</v>
      </c>
      <c r="E170" s="170" t="s">
        <v>499</v>
      </c>
      <c r="F170" s="170" t="s">
        <v>398</v>
      </c>
      <c r="G170" s="170" t="s">
        <v>1083</v>
      </c>
      <c r="H170" s="170" t="s">
        <v>39</v>
      </c>
      <c r="I170" s="394">
        <v>2170000</v>
      </c>
      <c r="J170" s="395">
        <v>103.465</v>
      </c>
      <c r="K170" s="395">
        <v>1</v>
      </c>
      <c r="L170" s="395">
        <v>1.0456190000000001</v>
      </c>
      <c r="M170" s="394">
        <v>2268992.69</v>
      </c>
      <c r="N170" s="390">
        <v>4.30993E-3</v>
      </c>
    </row>
    <row r="171" spans="1:14">
      <c r="A171" s="170" t="s">
        <v>604</v>
      </c>
      <c r="B171" s="170" t="s">
        <v>603</v>
      </c>
      <c r="C171" s="170" t="s">
        <v>1065</v>
      </c>
      <c r="D171" s="170" t="s">
        <v>513</v>
      </c>
      <c r="E171" s="170" t="s">
        <v>293</v>
      </c>
      <c r="F171" s="170" t="s">
        <v>400</v>
      </c>
      <c r="G171" s="170" t="s">
        <v>1080</v>
      </c>
      <c r="H171" s="170" t="s">
        <v>39</v>
      </c>
      <c r="I171" s="394">
        <v>788235</v>
      </c>
      <c r="J171" s="395">
        <v>105.38200000000001</v>
      </c>
      <c r="K171" s="395">
        <v>1</v>
      </c>
      <c r="L171" s="395">
        <v>1.073669</v>
      </c>
      <c r="M171" s="394">
        <v>846303.73</v>
      </c>
      <c r="N171" s="390">
        <v>1.6075499999999999E-3</v>
      </c>
    </row>
    <row r="172" spans="1:14">
      <c r="A172" s="170" t="s">
        <v>602</v>
      </c>
      <c r="B172" s="170" t="s">
        <v>601</v>
      </c>
      <c r="C172" s="170" t="s">
        <v>1065</v>
      </c>
      <c r="D172" s="170" t="s">
        <v>513</v>
      </c>
      <c r="E172" s="170" t="s">
        <v>600</v>
      </c>
      <c r="F172" s="170" t="s">
        <v>426</v>
      </c>
      <c r="G172" s="170" t="s">
        <v>1082</v>
      </c>
      <c r="H172" s="170" t="s">
        <v>39</v>
      </c>
      <c r="I172" s="394">
        <v>2213000</v>
      </c>
      <c r="J172" s="395">
        <v>100.33499999999999</v>
      </c>
      <c r="K172" s="395">
        <v>1</v>
      </c>
      <c r="L172" s="395">
        <v>1.0100169999999999</v>
      </c>
      <c r="M172" s="394">
        <v>2235166.88</v>
      </c>
      <c r="N172" s="390">
        <v>4.2456799999999999E-3</v>
      </c>
    </row>
    <row r="173" spans="1:14">
      <c r="A173" s="170" t="s">
        <v>598</v>
      </c>
      <c r="B173" s="170" t="s">
        <v>597</v>
      </c>
      <c r="C173" s="170" t="s">
        <v>1065</v>
      </c>
      <c r="D173" s="170" t="s">
        <v>588</v>
      </c>
      <c r="E173" s="170" t="s">
        <v>293</v>
      </c>
      <c r="F173" s="170" t="s">
        <v>484</v>
      </c>
      <c r="G173" s="170" t="s">
        <v>1081</v>
      </c>
      <c r="H173" s="170" t="s">
        <v>39</v>
      </c>
      <c r="I173" s="394">
        <v>2571000</v>
      </c>
      <c r="J173" s="395">
        <v>103.706</v>
      </c>
      <c r="K173" s="395">
        <v>1</v>
      </c>
      <c r="L173" s="395">
        <v>1.0479590000000001</v>
      </c>
      <c r="M173" s="394">
        <v>2694303.37</v>
      </c>
      <c r="N173" s="390">
        <v>5.1178100000000004E-3</v>
      </c>
    </row>
    <row r="174" spans="1:14">
      <c r="A174" s="170" t="s">
        <v>595</v>
      </c>
      <c r="B174" s="170" t="s">
        <v>594</v>
      </c>
      <c r="C174" s="170" t="s">
        <v>1065</v>
      </c>
      <c r="D174" s="170" t="s">
        <v>1064</v>
      </c>
      <c r="E174" s="170" t="s">
        <v>293</v>
      </c>
      <c r="F174" s="170" t="s">
        <v>447</v>
      </c>
      <c r="G174" s="170" t="s">
        <v>1080</v>
      </c>
      <c r="H174" s="170" t="s">
        <v>39</v>
      </c>
      <c r="I174" s="394">
        <v>1923000</v>
      </c>
      <c r="J174" s="395">
        <v>102.922</v>
      </c>
      <c r="K174" s="395">
        <v>1</v>
      </c>
      <c r="L174" s="395">
        <v>1.0412889999999999</v>
      </c>
      <c r="M174" s="394">
        <v>2002399.6</v>
      </c>
      <c r="N174" s="390">
        <v>3.8035399999999998E-3</v>
      </c>
    </row>
    <row r="175" spans="1:14">
      <c r="A175" s="170" t="s">
        <v>592</v>
      </c>
      <c r="B175" s="170" t="s">
        <v>591</v>
      </c>
      <c r="C175" s="170" t="s">
        <v>1065</v>
      </c>
      <c r="D175" s="170" t="s">
        <v>508</v>
      </c>
      <c r="E175" s="170" t="s">
        <v>685</v>
      </c>
      <c r="F175" s="170" t="s">
        <v>409</v>
      </c>
      <c r="G175" s="170" t="s">
        <v>1077</v>
      </c>
      <c r="H175" s="170" t="s">
        <v>39</v>
      </c>
      <c r="I175" s="394">
        <v>2046000</v>
      </c>
      <c r="J175" s="395">
        <v>101.83199999999999</v>
      </c>
      <c r="K175" s="395">
        <v>1</v>
      </c>
      <c r="L175" s="395">
        <v>1.0305420000000001</v>
      </c>
      <c r="M175" s="394">
        <v>2108489.39</v>
      </c>
      <c r="N175" s="390">
        <v>4.0050600000000004E-3</v>
      </c>
    </row>
    <row r="176" spans="1:14">
      <c r="A176" s="170" t="s">
        <v>590</v>
      </c>
      <c r="B176" s="170" t="s">
        <v>589</v>
      </c>
      <c r="C176" s="170" t="s">
        <v>1065</v>
      </c>
      <c r="D176" s="170" t="s">
        <v>588</v>
      </c>
      <c r="E176" s="170" t="s">
        <v>499</v>
      </c>
      <c r="F176" s="170" t="s">
        <v>368</v>
      </c>
      <c r="G176" s="170" t="s">
        <v>1079</v>
      </c>
      <c r="H176" s="170" t="s">
        <v>39</v>
      </c>
      <c r="I176" s="394">
        <v>1360000</v>
      </c>
      <c r="J176" s="395">
        <v>104.26900000000001</v>
      </c>
      <c r="K176" s="395">
        <v>1</v>
      </c>
      <c r="L176" s="395">
        <v>1.0533360000000001</v>
      </c>
      <c r="M176" s="394">
        <v>1432536.73</v>
      </c>
      <c r="N176" s="390">
        <v>2.7210899999999998E-3</v>
      </c>
    </row>
    <row r="177" spans="1:14">
      <c r="A177" s="170" t="s">
        <v>585</v>
      </c>
      <c r="B177" s="170" t="s">
        <v>584</v>
      </c>
      <c r="C177" s="170" t="s">
        <v>1065</v>
      </c>
      <c r="D177" s="170" t="s">
        <v>551</v>
      </c>
      <c r="E177" s="170" t="s">
        <v>685</v>
      </c>
      <c r="F177" s="170" t="s">
        <v>347</v>
      </c>
      <c r="G177" s="170" t="s">
        <v>1078</v>
      </c>
      <c r="H177" s="170" t="s">
        <v>39</v>
      </c>
      <c r="I177" s="394">
        <v>1974000</v>
      </c>
      <c r="J177" s="395">
        <v>100.63800000000001</v>
      </c>
      <c r="K177" s="395">
        <v>1</v>
      </c>
      <c r="L177" s="395">
        <v>1.013943</v>
      </c>
      <c r="M177" s="394">
        <v>2001522.5</v>
      </c>
      <c r="N177" s="390">
        <v>3.8018700000000002E-3</v>
      </c>
    </row>
    <row r="178" spans="1:14">
      <c r="A178" s="170" t="s">
        <v>580</v>
      </c>
      <c r="B178" s="170" t="s">
        <v>579</v>
      </c>
      <c r="C178" s="170" t="s">
        <v>1065</v>
      </c>
      <c r="D178" s="170" t="s">
        <v>1064</v>
      </c>
      <c r="E178" s="170" t="s">
        <v>532</v>
      </c>
      <c r="F178" s="170" t="s">
        <v>451</v>
      </c>
      <c r="G178" s="170" t="s">
        <v>1077</v>
      </c>
      <c r="H178" s="170" t="s">
        <v>39</v>
      </c>
      <c r="I178" s="394">
        <v>1936000</v>
      </c>
      <c r="J178" s="395">
        <v>101.051</v>
      </c>
      <c r="K178" s="395">
        <v>1</v>
      </c>
      <c r="L178" s="395">
        <v>1.0165789999999999</v>
      </c>
      <c r="M178" s="394">
        <v>1968097.8</v>
      </c>
      <c r="N178" s="390">
        <v>3.7383799999999999E-3</v>
      </c>
    </row>
    <row r="179" spans="1:14">
      <c r="A179" s="170" t="s">
        <v>578</v>
      </c>
      <c r="B179" s="170" t="s">
        <v>577</v>
      </c>
      <c r="C179" s="170" t="s">
        <v>1065</v>
      </c>
      <c r="D179" s="170" t="s">
        <v>575</v>
      </c>
      <c r="E179" s="170" t="s">
        <v>685</v>
      </c>
      <c r="F179" s="170" t="s">
        <v>332</v>
      </c>
      <c r="G179" s="170" t="s">
        <v>1076</v>
      </c>
      <c r="H179" s="170" t="s">
        <v>39</v>
      </c>
      <c r="I179" s="394">
        <v>7900000</v>
      </c>
      <c r="J179" s="395">
        <v>101.351</v>
      </c>
      <c r="K179" s="395">
        <v>1</v>
      </c>
      <c r="L179" s="395">
        <v>1.023674</v>
      </c>
      <c r="M179" s="394">
        <v>8087027.6299999999</v>
      </c>
      <c r="N179" s="390">
        <v>1.536124E-2</v>
      </c>
    </row>
    <row r="180" spans="1:14">
      <c r="A180" s="170" t="s">
        <v>573</v>
      </c>
      <c r="B180" s="170" t="s">
        <v>572</v>
      </c>
      <c r="C180" s="170" t="s">
        <v>1065</v>
      </c>
      <c r="D180" s="170" t="s">
        <v>513</v>
      </c>
      <c r="E180" s="170" t="s">
        <v>571</v>
      </c>
      <c r="F180" s="170" t="s">
        <v>439</v>
      </c>
      <c r="G180" s="170" t="s">
        <v>1075</v>
      </c>
      <c r="H180" s="170" t="s">
        <v>39</v>
      </c>
      <c r="I180" s="394">
        <v>2026000</v>
      </c>
      <c r="J180" s="395">
        <v>101.48099999999999</v>
      </c>
      <c r="K180" s="395">
        <v>1</v>
      </c>
      <c r="L180" s="395">
        <v>1.0198199999999999</v>
      </c>
      <c r="M180" s="394">
        <v>2066156.16</v>
      </c>
      <c r="N180" s="390">
        <v>3.92465E-3</v>
      </c>
    </row>
    <row r="181" spans="1:14">
      <c r="A181" s="170" t="s">
        <v>569</v>
      </c>
      <c r="B181" s="170" t="s">
        <v>568</v>
      </c>
      <c r="C181" s="170" t="s">
        <v>1065</v>
      </c>
      <c r="D181" s="170" t="s">
        <v>567</v>
      </c>
      <c r="E181" s="170" t="s">
        <v>293</v>
      </c>
      <c r="F181" s="170" t="s">
        <v>358</v>
      </c>
      <c r="G181" s="170" t="s">
        <v>1074</v>
      </c>
      <c r="H181" s="170" t="s">
        <v>39</v>
      </c>
      <c r="I181" s="394">
        <v>1419000</v>
      </c>
      <c r="J181" s="395">
        <v>103.21</v>
      </c>
      <c r="K181" s="395">
        <v>1</v>
      </c>
      <c r="L181" s="395">
        <v>1.0375760000000001</v>
      </c>
      <c r="M181" s="394">
        <v>1472320.38</v>
      </c>
      <c r="N181" s="390">
        <v>2.7966599999999999E-3</v>
      </c>
    </row>
    <row r="182" spans="1:14">
      <c r="A182" s="170" t="s">
        <v>565</v>
      </c>
      <c r="B182" s="170" t="s">
        <v>564</v>
      </c>
      <c r="C182" s="170" t="s">
        <v>1065</v>
      </c>
      <c r="D182" s="170" t="s">
        <v>1064</v>
      </c>
      <c r="E182" s="170" t="s">
        <v>293</v>
      </c>
      <c r="F182" s="170" t="s">
        <v>395</v>
      </c>
      <c r="G182" s="170" t="s">
        <v>1073</v>
      </c>
      <c r="H182" s="170" t="s">
        <v>39</v>
      </c>
      <c r="I182" s="394">
        <v>920000</v>
      </c>
      <c r="J182" s="395">
        <v>103.497</v>
      </c>
      <c r="K182" s="395">
        <v>1</v>
      </c>
      <c r="L182" s="395">
        <v>1.0400119999999999</v>
      </c>
      <c r="M182" s="394">
        <v>956810.73</v>
      </c>
      <c r="N182" s="390">
        <v>1.81745E-3</v>
      </c>
    </row>
    <row r="183" spans="1:14">
      <c r="A183" s="170" t="s">
        <v>562</v>
      </c>
      <c r="B183" s="170" t="s">
        <v>561</v>
      </c>
      <c r="C183" s="170" t="s">
        <v>1065</v>
      </c>
      <c r="D183" s="170" t="s">
        <v>497</v>
      </c>
      <c r="E183" s="170" t="s">
        <v>499</v>
      </c>
      <c r="F183" s="170" t="s">
        <v>352</v>
      </c>
      <c r="G183" s="170" t="s">
        <v>1072</v>
      </c>
      <c r="H183" s="170" t="s">
        <v>39</v>
      </c>
      <c r="I183" s="394">
        <v>2284000</v>
      </c>
      <c r="J183" s="395">
        <v>101.208</v>
      </c>
      <c r="K183" s="395">
        <v>1</v>
      </c>
      <c r="L183" s="395">
        <v>1.016524</v>
      </c>
      <c r="M183" s="394">
        <v>2321741.83</v>
      </c>
      <c r="N183" s="390">
        <v>4.41013E-3</v>
      </c>
    </row>
    <row r="184" spans="1:14">
      <c r="A184" s="170" t="s">
        <v>559</v>
      </c>
      <c r="B184" s="170" t="s">
        <v>558</v>
      </c>
      <c r="C184" s="170" t="s">
        <v>1065</v>
      </c>
      <c r="D184" s="170" t="s">
        <v>1064</v>
      </c>
      <c r="E184" s="170" t="s">
        <v>293</v>
      </c>
      <c r="F184" s="170" t="s">
        <v>483</v>
      </c>
      <c r="G184" s="170" t="s">
        <v>1071</v>
      </c>
      <c r="H184" s="170" t="s">
        <v>39</v>
      </c>
      <c r="I184" s="394">
        <v>900000</v>
      </c>
      <c r="J184" s="395">
        <v>102.124</v>
      </c>
      <c r="K184" s="395">
        <v>1</v>
      </c>
      <c r="L184" s="395">
        <v>1.02199</v>
      </c>
      <c r="M184" s="394">
        <v>919791</v>
      </c>
      <c r="N184" s="390">
        <v>1.74713E-3</v>
      </c>
    </row>
    <row r="185" spans="1:14">
      <c r="A185" s="170" t="s">
        <v>556</v>
      </c>
      <c r="B185" s="170" t="s">
        <v>555</v>
      </c>
      <c r="C185" s="170" t="s">
        <v>1065</v>
      </c>
      <c r="D185" s="170" t="s">
        <v>1064</v>
      </c>
      <c r="E185" s="170" t="s">
        <v>499</v>
      </c>
      <c r="F185" s="170" t="s">
        <v>427</v>
      </c>
      <c r="G185" s="170" t="s">
        <v>1070</v>
      </c>
      <c r="H185" s="170" t="s">
        <v>39</v>
      </c>
      <c r="I185" s="394">
        <v>2600000</v>
      </c>
      <c r="J185" s="395">
        <v>101.56</v>
      </c>
      <c r="K185" s="395">
        <v>1</v>
      </c>
      <c r="L185" s="395">
        <v>1.0209360000000001</v>
      </c>
      <c r="M185" s="394">
        <v>2654432.6</v>
      </c>
      <c r="N185" s="390">
        <v>5.0420700000000001E-3</v>
      </c>
    </row>
    <row r="186" spans="1:14">
      <c r="A186" s="170" t="s">
        <v>553</v>
      </c>
      <c r="B186" s="170" t="s">
        <v>552</v>
      </c>
      <c r="C186" s="170" t="s">
        <v>1065</v>
      </c>
      <c r="D186" s="170" t="s">
        <v>1064</v>
      </c>
      <c r="E186" s="170" t="s">
        <v>499</v>
      </c>
      <c r="F186" s="170" t="s">
        <v>445</v>
      </c>
      <c r="G186" s="170" t="s">
        <v>1069</v>
      </c>
      <c r="H186" s="170" t="s">
        <v>39</v>
      </c>
      <c r="I186" s="394">
        <v>1582000</v>
      </c>
      <c r="J186" s="395">
        <v>102.005</v>
      </c>
      <c r="K186" s="395">
        <v>1</v>
      </c>
      <c r="L186" s="395">
        <v>1.0231749999999999</v>
      </c>
      <c r="M186" s="394">
        <v>1618662.85</v>
      </c>
      <c r="N186" s="390">
        <v>3.07464E-3</v>
      </c>
    </row>
    <row r="187" spans="1:14">
      <c r="A187" s="170" t="s">
        <v>549</v>
      </c>
      <c r="B187" s="170" t="s">
        <v>548</v>
      </c>
      <c r="C187" s="170" t="s">
        <v>1065</v>
      </c>
      <c r="D187" s="170" t="s">
        <v>1064</v>
      </c>
      <c r="E187" s="170" t="s">
        <v>532</v>
      </c>
      <c r="F187" s="170" t="s">
        <v>462</v>
      </c>
      <c r="G187" s="170" t="s">
        <v>1068</v>
      </c>
      <c r="H187" s="170" t="s">
        <v>39</v>
      </c>
      <c r="I187" s="394">
        <v>1614000</v>
      </c>
      <c r="J187" s="395">
        <v>101.827</v>
      </c>
      <c r="K187" s="395">
        <v>1</v>
      </c>
      <c r="L187" s="395">
        <v>1.0211870000000001</v>
      </c>
      <c r="M187" s="394">
        <v>1648195.28</v>
      </c>
      <c r="N187" s="390">
        <v>3.13073E-3</v>
      </c>
    </row>
    <row r="188" spans="1:14">
      <c r="A188" s="170" t="s">
        <v>1226</v>
      </c>
      <c r="B188" s="170" t="s">
        <v>680</v>
      </c>
      <c r="C188" s="170" t="s">
        <v>1065</v>
      </c>
      <c r="D188" s="170" t="s">
        <v>497</v>
      </c>
      <c r="E188" s="170" t="s">
        <v>499</v>
      </c>
      <c r="F188" s="170" t="s">
        <v>480</v>
      </c>
      <c r="G188" s="170" t="s">
        <v>1103</v>
      </c>
      <c r="H188" s="170" t="s">
        <v>39</v>
      </c>
      <c r="I188" s="394">
        <v>4200000</v>
      </c>
      <c r="J188" s="395">
        <v>101.624</v>
      </c>
      <c r="K188" s="395">
        <v>1</v>
      </c>
      <c r="L188" s="395">
        <v>1.029296</v>
      </c>
      <c r="M188" s="394">
        <v>4323041.33</v>
      </c>
      <c r="N188" s="390">
        <v>8.2115799999999996E-3</v>
      </c>
    </row>
    <row r="189" spans="1:14">
      <c r="A189" s="170" t="s">
        <v>546</v>
      </c>
      <c r="B189" s="170" t="s">
        <v>545</v>
      </c>
      <c r="C189" s="170" t="s">
        <v>1065</v>
      </c>
      <c r="D189" s="170" t="s">
        <v>544</v>
      </c>
      <c r="E189" s="170" t="s">
        <v>287</v>
      </c>
      <c r="F189" s="170" t="s">
        <v>376</v>
      </c>
      <c r="G189" s="170" t="s">
        <v>1068</v>
      </c>
      <c r="H189" s="170" t="s">
        <v>39</v>
      </c>
      <c r="I189" s="394">
        <v>3851000</v>
      </c>
      <c r="J189" s="395">
        <v>102.602</v>
      </c>
      <c r="K189" s="395">
        <v>1</v>
      </c>
      <c r="L189" s="395">
        <v>1.02902</v>
      </c>
      <c r="M189" s="394">
        <v>3962756.02</v>
      </c>
      <c r="N189" s="390">
        <v>7.5272200000000003E-3</v>
      </c>
    </row>
    <row r="190" spans="1:14">
      <c r="A190" s="170" t="s">
        <v>542</v>
      </c>
      <c r="B190" s="170" t="s">
        <v>541</v>
      </c>
      <c r="C190" s="170" t="s">
        <v>1065</v>
      </c>
      <c r="D190" s="170" t="s">
        <v>508</v>
      </c>
      <c r="E190" s="170" t="s">
        <v>532</v>
      </c>
      <c r="F190" s="170" t="s">
        <v>401</v>
      </c>
      <c r="G190" s="170" t="s">
        <v>1067</v>
      </c>
      <c r="H190" s="170" t="s">
        <v>39</v>
      </c>
      <c r="I190" s="394">
        <v>1319000</v>
      </c>
      <c r="J190" s="395">
        <v>101.828</v>
      </c>
      <c r="K190" s="395">
        <v>1</v>
      </c>
      <c r="L190" s="395">
        <v>1.0188360000000001</v>
      </c>
      <c r="M190" s="394">
        <v>1343844.1</v>
      </c>
      <c r="N190" s="390">
        <v>2.5526199999999998E-3</v>
      </c>
    </row>
    <row r="191" spans="1:14">
      <c r="A191" s="170" t="s">
        <v>539</v>
      </c>
      <c r="B191" s="170" t="s">
        <v>538</v>
      </c>
      <c r="C191" s="170" t="s">
        <v>1065</v>
      </c>
      <c r="D191" s="170" t="s">
        <v>513</v>
      </c>
      <c r="E191" s="170" t="s">
        <v>514</v>
      </c>
      <c r="F191" s="170" t="s">
        <v>481</v>
      </c>
      <c r="G191" s="170" t="s">
        <v>1066</v>
      </c>
      <c r="H191" s="170" t="s">
        <v>39</v>
      </c>
      <c r="I191" s="394">
        <v>5528000</v>
      </c>
      <c r="J191" s="395">
        <v>99.744</v>
      </c>
      <c r="K191" s="395">
        <v>1</v>
      </c>
      <c r="L191" s="395">
        <v>0.99743999999999999</v>
      </c>
      <c r="M191" s="394">
        <v>5513848.3200000003</v>
      </c>
      <c r="N191" s="390">
        <v>1.047351E-2</v>
      </c>
    </row>
    <row r="192" spans="1:14">
      <c r="A192" s="170" t="s">
        <v>534</v>
      </c>
      <c r="B192" s="170" t="s">
        <v>533</v>
      </c>
      <c r="C192" s="170" t="s">
        <v>1065</v>
      </c>
      <c r="D192" s="170" t="s">
        <v>1064</v>
      </c>
      <c r="E192" s="170" t="s">
        <v>532</v>
      </c>
      <c r="F192" s="170" t="s">
        <v>460</v>
      </c>
      <c r="G192" s="170" t="s">
        <v>1063</v>
      </c>
      <c r="H192" s="170" t="s">
        <v>39</v>
      </c>
      <c r="I192" s="394">
        <v>691000</v>
      </c>
      <c r="J192" s="395">
        <v>102.38800000000001</v>
      </c>
      <c r="K192" s="395">
        <v>1</v>
      </c>
      <c r="L192" s="395">
        <v>1.0243279999999999</v>
      </c>
      <c r="M192" s="394">
        <v>707810.59</v>
      </c>
      <c r="N192" s="390">
        <v>1.3444799999999999E-3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15</vt:i4>
      </vt:variant>
    </vt:vector>
  </HeadingPairs>
  <TitlesOfParts>
    <vt:vector size="27" baseType="lpstr">
      <vt:lpstr>Report (p1)</vt:lpstr>
      <vt:lpstr>Report (p2)</vt:lpstr>
      <vt:lpstr>Report (p3)</vt:lpstr>
      <vt:lpstr>Données</vt:lpstr>
      <vt:lpstr>Performances</vt:lpstr>
      <vt:lpstr>Graph Perf</vt:lpstr>
      <vt:lpstr>Sophis</vt:lpstr>
      <vt:lpstr>Inventaire M</vt:lpstr>
      <vt:lpstr>Inventaire M-1</vt:lpstr>
      <vt:lpstr>Principales Lignes &amp; Contrib</vt:lpstr>
      <vt:lpstr>Mouvements</vt:lpstr>
      <vt:lpstr>Caracteristik</vt:lpstr>
      <vt:lpstr>Caracteristik!S_1</vt:lpstr>
      <vt:lpstr>Données!S_1</vt:lpstr>
      <vt:lpstr>'Graph Perf'!S_1</vt:lpstr>
      <vt:lpstr>'Inventaire M'!S_1</vt:lpstr>
      <vt:lpstr>'Inventaire M-1'!S_1</vt:lpstr>
      <vt:lpstr>Mouvements!S_1</vt:lpstr>
      <vt:lpstr>Performances!S_1</vt:lpstr>
      <vt:lpstr>'Principales Lignes &amp; Contrib'!S_1</vt:lpstr>
      <vt:lpstr>'Report (p1)'!S_1</vt:lpstr>
      <vt:lpstr>'Report (p2)'!S_1</vt:lpstr>
      <vt:lpstr>'Report (p3)'!S_1</vt:lpstr>
      <vt:lpstr>Sophis!S_1</vt:lpstr>
      <vt:lpstr>'Report (p1)'!Zone_d_impression</vt:lpstr>
      <vt:lpstr>'Report (p2)'!Zone_d_impression</vt:lpstr>
      <vt:lpstr>'Report (p3)'!Zone_d_impression</vt:lpstr>
    </vt:vector>
  </TitlesOfParts>
  <Company>OFI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artech</dc:creator>
  <cp:lastModifiedBy>mhamme_m</cp:lastModifiedBy>
  <cp:lastPrinted>2023-10-02T13:00:53Z</cp:lastPrinted>
  <dcterms:created xsi:type="dcterms:W3CDTF">2012-09-28T16:45:29Z</dcterms:created>
  <dcterms:modified xsi:type="dcterms:W3CDTF">2025-09-03T17:03:06Z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ve">
    <vt:lpwstr>Reportive</vt:lpwstr>
  </property>
</Properties>
</file>